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0" windowWidth="13185" windowHeight="11055" activeTab="0"/>
  </bookViews>
  <sheets>
    <sheet name="ORÇAMENTARIA CRECHE" sheetId="1" r:id="rId1"/>
    <sheet name="CRONOGRAMA" sheetId="2" r:id="rId2"/>
    <sheet name="BDI TCU 2622 - EDIF" sheetId="3" r:id="rId3"/>
    <sheet name="COMPOSIÇÃO CRECHE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AVERAGEIF" hidden="1">#NAME?</definedName>
    <definedName name="_xlnm.Print_Area" localSheetId="2">'BDI TCU 2622 - EDIF'!$B$1:$J$37</definedName>
    <definedName name="_xlnm.Print_Area" localSheetId="3">'COMPOSIÇÃO CRECHE'!#REF!</definedName>
    <definedName name="_xlnm.Print_Area" localSheetId="0">'ORÇAMENTARIA CRECHE'!$B$1:$I$226</definedName>
    <definedName name="Aut_original">'[1]PROJETO'!#REF!</definedName>
    <definedName name="Aut_resumo">'[2]RESUMO_AUT1'!#REF!</definedName>
    <definedName name="CONS">#REF!</definedName>
    <definedName name="CONSUMO">'[3]QuQuant'!#REF!</definedName>
    <definedName name="Descricao">#REF!</definedName>
    <definedName name="DIMPAV">#REF!</definedName>
    <definedName name="ISS">#REF!</definedName>
    <definedName name="k">#REF!</definedName>
    <definedName name="Meu">#REF!</definedName>
    <definedName name="Print">'[4]QuQuant'!#REF!</definedName>
    <definedName name="Print_Area_MI">'[5]qorcamentodnerL1'!#REF!</definedName>
    <definedName name="_xlnm.Print_Titles" localSheetId="1">'CRONOGRAMA'!$A:$J,'CRONOGRAMA'!$1:$4</definedName>
    <definedName name="_xlnm.Print_Titles" localSheetId="0">'ORÇAMENTARIA CRECHE'!$B:$I,'ORÇAMENTARIA CRECHE'!$1:$11</definedName>
    <definedName name="UniformeMensageiro">#REF!</definedName>
    <definedName name="UniformeMensageiros">#REF!</definedName>
    <definedName name="UniformeRecepcionista">#REF!</definedName>
  </definedNames>
  <calcPr fullCalcOnLoad="1"/>
</workbook>
</file>

<file path=xl/sharedStrings.xml><?xml version="1.0" encoding="utf-8"?>
<sst xmlns="http://schemas.openxmlformats.org/spreadsheetml/2006/main" count="897" uniqueCount="692">
  <si>
    <t>PLANILHA ORÇAMENTÁRIA DE CUSTOS</t>
  </si>
  <si>
    <t>CONVENENTE: PREFEITURA MUNICIPAL DE LAGOA SANTA</t>
  </si>
  <si>
    <t>FOLHA Nº: 01</t>
  </si>
  <si>
    <t xml:space="preserve">FORMA DE EXECUÇÃO: </t>
  </si>
  <si>
    <t>(    ) DIRETA</t>
  </si>
  <si>
    <t>( x  )INDIRETA</t>
  </si>
  <si>
    <t>BDI</t>
  </si>
  <si>
    <t>ITEM</t>
  </si>
  <si>
    <t>CÓDIGO</t>
  </si>
  <si>
    <t>DESCRIÇÃO</t>
  </si>
  <si>
    <t>UNIDADE</t>
  </si>
  <si>
    <t>QUANTIDADE</t>
  </si>
  <si>
    <t>PREÇO UNITÁRIO S/ BDI</t>
  </si>
  <si>
    <t>PREÇO UNITÁRIO C/ BDI</t>
  </si>
  <si>
    <t>PREÇO TOTAL</t>
  </si>
  <si>
    <t>1.1</t>
  </si>
  <si>
    <t xml:space="preserve">MOBILIZAÇÃO / DESMOBILIZAÇÃO </t>
  </si>
  <si>
    <t>UNID.</t>
  </si>
  <si>
    <t>1.3</t>
  </si>
  <si>
    <t>93565</t>
  </si>
  <si>
    <t>ENGENHEIRO CIVIL DE OBRA JUNIOR COM ENCARGOS COMPLEMENTARES</t>
  </si>
  <si>
    <t>1.4</t>
  </si>
  <si>
    <t>93572</t>
  </si>
  <si>
    <t>ENCARREGADO GERAL DE OBRAS COM ENCARGOS COMPLEMENTARES</t>
  </si>
  <si>
    <t>2.1</t>
  </si>
  <si>
    <t>M³</t>
  </si>
  <si>
    <t>2.2</t>
  </si>
  <si>
    <t>M²</t>
  </si>
  <si>
    <t>M</t>
  </si>
  <si>
    <t>74209/001</t>
  </si>
  <si>
    <t>TOTAL GERAL DA OBRA</t>
  </si>
  <si>
    <t>H</t>
  </si>
  <si>
    <t>VIGIA NOTURNO COM ENCARGOS COMPLEMENTARES</t>
  </si>
  <si>
    <t>88326</t>
  </si>
  <si>
    <t>EXECUÇÃO DE SANITÁRIO E VESTIÁRIO EM CANTEIRO DE OBRA EM CHAPA DE MADEIRA COMPENSADA, NÃO INCLUSO MOBILIÁRIO. AF_02/2016</t>
  </si>
  <si>
    <t>93212</t>
  </si>
  <si>
    <t>EXECUÇÃO DE DEPÓSITO EM CANTEIRO DE OBRA EM CHAPA DE MADEIRA COMPENSADA, NÃO INCLUSO MOBILIÁRIO. AF_04/2016</t>
  </si>
  <si>
    <t>93584</t>
  </si>
  <si>
    <t>PLACA DE OBRA EM CHAPA DE ACO GALVANIZADO</t>
  </si>
  <si>
    <t>ALUGUEL CONTAINER/ESCRIT INCL INST ELET LARG=2,20 COMP=6,20M ALT=2,50M CHAPA ACO C/NERV TRAPEZ FORRO C/ISOL TERMO/ACUSTICO CHASSIS REFORC PISO COMPENS NAVAL EXC TRANSP/CARGA/DESCARGA</t>
  </si>
  <si>
    <t>73847/001</t>
  </si>
  <si>
    <t>MÊS</t>
  </si>
  <si>
    <t>CRONOGRAMA FÍSICO-FINANCEIRO</t>
  </si>
  <si>
    <t>ETAPAS/DESCRIÇÃO</t>
  </si>
  <si>
    <t>FÍSICO/ FINANCEIRO</t>
  </si>
  <si>
    <t>TOTAL  ETAPAS</t>
  </si>
  <si>
    <t>MÊS 01</t>
  </si>
  <si>
    <t>MÊS 02</t>
  </si>
  <si>
    <t>1</t>
  </si>
  <si>
    <t>2</t>
  </si>
  <si>
    <t>3</t>
  </si>
  <si>
    <t>TOTAL</t>
  </si>
  <si>
    <t>ALESSANDRO JORGE SALVINO</t>
  </si>
  <si>
    <t>DIRETOR DE OBRAS</t>
  </si>
  <si>
    <t>Acórdão 2622/2013</t>
  </si>
  <si>
    <t>CONTRATO</t>
  </si>
  <si>
    <t>Proponente</t>
  </si>
  <si>
    <t>Empreendimento ( Nome/Apelido)</t>
  </si>
  <si>
    <t>Programa</t>
  </si>
  <si>
    <t>Município</t>
  </si>
  <si>
    <t>UF</t>
  </si>
  <si>
    <t>Parâmetros para cálculo do BDI</t>
  </si>
  <si>
    <t>Itens Admissíveis</t>
  </si>
  <si>
    <t>Intervalos admissíveis sem justificativa</t>
  </si>
  <si>
    <t>Índices adotados</t>
  </si>
  <si>
    <t>Administração Central (AC)</t>
  </si>
  <si>
    <t xml:space="preserve">De </t>
  </si>
  <si>
    <t>até</t>
  </si>
  <si>
    <t>Seguro e Garantia (S+G)</t>
  </si>
  <si>
    <t>Risco (R)</t>
  </si>
  <si>
    <t>Despesas financeiras (DF)</t>
  </si>
  <si>
    <t>Lucro (L)</t>
  </si>
  <si>
    <t>Tributos (T)</t>
  </si>
  <si>
    <t>INSS desoneração (E)</t>
  </si>
  <si>
    <t>ou</t>
  </si>
  <si>
    <t>Controle</t>
  </si>
  <si>
    <t>BDI ADMISSÍVEL</t>
  </si>
  <si>
    <t>BDI NÃO ADMISSÍVEL</t>
  </si>
  <si>
    <t>BDI CALCULADO ----&gt;</t>
  </si>
  <si>
    <t>PREFEITURA MUNICIPAL DE LAGOA SANTA</t>
  </si>
  <si>
    <t>LAGOA SANTA</t>
  </si>
  <si>
    <t>1.2</t>
  </si>
  <si>
    <t>1.5</t>
  </si>
  <si>
    <t>1.6</t>
  </si>
  <si>
    <t>1.7</t>
  </si>
  <si>
    <t>MÊS 03</t>
  </si>
  <si>
    <t>MÊS 04</t>
  </si>
  <si>
    <t>MÊS 05</t>
  </si>
  <si>
    <t>MÊS 06</t>
  </si>
  <si>
    <t/>
  </si>
  <si>
    <t>KG</t>
  </si>
  <si>
    <t>4.1</t>
  </si>
  <si>
    <t>4.2</t>
  </si>
  <si>
    <t>5.1</t>
  </si>
  <si>
    <t>6.2</t>
  </si>
  <si>
    <t>7.1</t>
  </si>
  <si>
    <t>8.1</t>
  </si>
  <si>
    <t>INSTALAÇÕES HIDROSSANITÁRIAS</t>
  </si>
  <si>
    <t>UN</t>
  </si>
  <si>
    <t>9.1</t>
  </si>
  <si>
    <t>LIMPEZA GERAL DA OBRA</t>
  </si>
  <si>
    <t>11.1</t>
  </si>
  <si>
    <t>11.2</t>
  </si>
  <si>
    <t>15.1</t>
  </si>
  <si>
    <t>SERVIÇOS PRELIMINARES</t>
  </si>
  <si>
    <t>PRAZO DA OBRA: 06 MESES</t>
  </si>
  <si>
    <t>CALCULO DO BDI -CONSTRUÇÃO DE EDIFÍCIOS</t>
  </si>
  <si>
    <t>Gestor (Ministério)</t>
  </si>
  <si>
    <t>BDI =[(1+AC+S+R+G)*(1+DF)*(1+L)/(1-(T+E))-1]</t>
  </si>
  <si>
    <t>INSTALAÇÃO DA OBRA/ADMINISTRAÇÃO</t>
  </si>
  <si>
    <t>UND</t>
  </si>
  <si>
    <t>TRA-CAM-015</t>
  </si>
  <si>
    <t>TRANSPORTE DE MATERIAL DE QUALQUER NATUREZA EM CAMINHÃO 2 KM&lt; DMT &lt;= 5 KM (DENTRO DO PERÍMETRO URBANO)</t>
  </si>
  <si>
    <t>M3XKM</t>
  </si>
  <si>
    <t>03.22.02</t>
  </si>
  <si>
    <t>02.27.02</t>
  </si>
  <si>
    <t>1.8</t>
  </si>
  <si>
    <t>2.7</t>
  </si>
  <si>
    <t>2.10</t>
  </si>
  <si>
    <t>PT</t>
  </si>
  <si>
    <t>INST-AGU-005</t>
  </si>
  <si>
    <t>PONTO DE ÁGUA FRIA EMBUTIDO, INCLUINDO TUBO DE PVC RÍGIDO SOLDÁVEL E CONEXÕES</t>
  </si>
  <si>
    <t>2.12</t>
  </si>
  <si>
    <t>11.24.05</t>
  </si>
  <si>
    <t>11.24.07</t>
  </si>
  <si>
    <t>PROJETO ELETRICO</t>
  </si>
  <si>
    <t>PR A1</t>
  </si>
  <si>
    <t>PROJETO ELETRICO AREA &gt; 1000 M2 (AS BUILT)</t>
  </si>
  <si>
    <t>m2</t>
  </si>
  <si>
    <t>PROJETO DE PROTEÇAO CONTRA DESCARGAS ATMOSFERICAS</t>
  </si>
  <si>
    <t>62.01.19</t>
  </si>
  <si>
    <t>62.23.10</t>
  </si>
  <si>
    <t>62.01.25</t>
  </si>
  <si>
    <t>PROJETO DE ESTRUTURA DE CONCRETO</t>
  </si>
  <si>
    <t>62.01.16</t>
  </si>
  <si>
    <t>2.13</t>
  </si>
  <si>
    <t>2.14</t>
  </si>
  <si>
    <t>65.01.01</t>
  </si>
  <si>
    <t>65.01.02</t>
  </si>
  <si>
    <t>65.01.03</t>
  </si>
  <si>
    <t>MOBILIZAÇÂO, INSTALAÇÃO E DESMOBILIZAÇÃO SONDAGEM PERCUSSÃO 2 1/2"</t>
  </si>
  <si>
    <t>PERFURAÇÃO SONDAGEM PERCUSSÃO 2 1/2"</t>
  </si>
  <si>
    <t>DESMONTAGEM, TRANSPORTE E MONTAGEM DE EQUIPAMENTOS POR FURO</t>
  </si>
  <si>
    <t>LOC-OBR-005</t>
  </si>
  <si>
    <t xml:space="preserve">M2 </t>
  </si>
  <si>
    <t xml:space="preserve">LOCAÇÃO DA OBRA (GABARITO) </t>
  </si>
  <si>
    <t>IIO-TAP-005</t>
  </si>
  <si>
    <t>TAPUME EM CHAPA COMPENSADO DE 12 MM E PONTALETES H = 2,20 M 130,59</t>
  </si>
  <si>
    <t>1.9</t>
  </si>
  <si>
    <t>PRAZO DE EXECUÇÃO: 06 MESES</t>
  </si>
  <si>
    <t>03.03.01</t>
  </si>
  <si>
    <t>03.12.03</t>
  </si>
  <si>
    <t>03.13.04</t>
  </si>
  <si>
    <t>VEDAÇÕES</t>
  </si>
  <si>
    <t>CJ</t>
  </si>
  <si>
    <t>2.3</t>
  </si>
  <si>
    <t>2.4</t>
  </si>
  <si>
    <t>2.5</t>
  </si>
  <si>
    <t>2.6</t>
  </si>
  <si>
    <t>2.8</t>
  </si>
  <si>
    <t>2.9</t>
  </si>
  <si>
    <t>2.11</t>
  </si>
  <si>
    <t>3.1</t>
  </si>
  <si>
    <t>10.1</t>
  </si>
  <si>
    <t>10.2</t>
  </si>
  <si>
    <t>10.3</t>
  </si>
  <si>
    <t>10.4</t>
  </si>
  <si>
    <t>10.6</t>
  </si>
  <si>
    <t>10.7</t>
  </si>
  <si>
    <t>10.8</t>
  </si>
  <si>
    <t>12.1</t>
  </si>
  <si>
    <t>13.1</t>
  </si>
  <si>
    <t>INSTALAÇÕES ELÉTRICAS</t>
  </si>
  <si>
    <t>INSTALAÇÕES DE SPDA COMUNICAÇÃO E LÓGICA</t>
  </si>
  <si>
    <t>INSTALAÇÕES DE COMBATE E PREVENÇÃO A INCÊNDIOS E PÂNICO</t>
  </si>
  <si>
    <t>un</t>
  </si>
  <si>
    <t>PMLS</t>
  </si>
  <si>
    <t>INSTALAÇÕES DE COMBATE E PREVENÇÃO A INCÊNDIOS E PÂNICO INCLUSIVE PROJETO E APROVAÇÃO DO CORPO DE BOMBEIROS</t>
  </si>
  <si>
    <t xml:space="preserve"> UN </t>
  </si>
  <si>
    <t>13.2</t>
  </si>
  <si>
    <t>ELE-DIS-007</t>
  </si>
  <si>
    <t>DISJUNTOR MONOPOLAR TERMOMAGNÉTICO 5KA, DE 16A</t>
  </si>
  <si>
    <t>ELE-DIS-008</t>
  </si>
  <si>
    <t>DISJUNTOR MONOPOLAR TERMOMAGNÉTICO 5KA, DE 20A</t>
  </si>
  <si>
    <t>DISJUNTOR BIPOLAR TERMOMAGNÉTICO 5KA, DE 20A</t>
  </si>
  <si>
    <t>DISJUNTOR BIPOLAR TERMOMAGNÉTICO 5KA, DE 32A</t>
  </si>
  <si>
    <t>DISJUNTOR TRIPOLAR TERMOMAGNÉTICO 10KA, DE 100A</t>
  </si>
  <si>
    <t>11.93.02</t>
  </si>
  <si>
    <t>SUPRESSOR DE SURTO VCL 275V 45KA CLAMPER/EQUIVALENTE</t>
  </si>
  <si>
    <t>11.20.01</t>
  </si>
  <si>
    <t>11.14.20</t>
  </si>
  <si>
    <t>CAIXA DE EMBUTIR EM PVC 2X4" TIGRE OU EQUIVALENTE</t>
  </si>
  <si>
    <t>11.14.26</t>
  </si>
  <si>
    <t>CAIXA DE FERRO ESMALTADO OCTOGONAL  3" X 3" P.THOMEU/EQUIVALENTE</t>
  </si>
  <si>
    <t>11.14.37</t>
  </si>
  <si>
    <t>CAIXA TIPO 1, 30X30X40CM C/FUNDO DE BRITA E TAMPA CONCR.</t>
  </si>
  <si>
    <t>ELE-DUT-005</t>
  </si>
  <si>
    <t>DUTO CORRUGADO EM PEAD (POLIETILENO DE ALTA DENSIDADE), PARA
PROTEÇÃO DE CABOS SUBTERRÂNEOS Ø 1 1/2" (40 MM)</t>
  </si>
  <si>
    <t>m</t>
  </si>
  <si>
    <t>11.02.04</t>
  </si>
  <si>
    <t>ELETRODUTO PVC FLEXIVEL CORRUGADO D= 25MM (3/4")</t>
  </si>
  <si>
    <t>11.02.05</t>
  </si>
  <si>
    <t>ELETRODUTO PVC FLEXIVEL CORRUGADOD= 32MM (1")</t>
  </si>
  <si>
    <t>CABO NÃO HALOGENO # 2,5 MM2, ISOLAMENTO 750V</t>
  </si>
  <si>
    <t>CABO NÃO HALOGENO # 6,0 MM2, ISOLAMENTO 750V</t>
  </si>
  <si>
    <t>11.24.41</t>
  </si>
  <si>
    <t>CABO C/1 CONDUTOR # 1 X  2,5 MM2, ISOLAMENTO 1KV</t>
  </si>
  <si>
    <t>11.24.45</t>
  </si>
  <si>
    <t>11.45.46</t>
  </si>
  <si>
    <t>ARANDELA TIPO TARTARUGA - LUMIFOR OU EQUIVALENTE</t>
  </si>
  <si>
    <t>ELE-INT-026</t>
  </si>
  <si>
    <t>CONJUNTO 2 INTERRUPTORES SIMPLES COM PLACA</t>
  </si>
  <si>
    <t>ELE-INT-015</t>
  </si>
  <si>
    <t>INTERRUPTOR UMA TECLA SIMPLES 10 A - 250 V, COM PLACA</t>
  </si>
  <si>
    <t>ELE-LUM-011</t>
  </si>
  <si>
    <t>ELE-LUM-026</t>
  </si>
  <si>
    <t>ELE-PRO-005</t>
  </si>
  <si>
    <t>ELE-TOM-005</t>
  </si>
  <si>
    <t>TOMADA SIMPLES - 2P + T - 10A COM PLACA</t>
  </si>
  <si>
    <t>ELE-TOM-015</t>
  </si>
  <si>
    <t>TOMADA SIMPLES - 2P + T - 20A COM PLACA</t>
  </si>
  <si>
    <t>11.91.05</t>
  </si>
  <si>
    <t>CABO DE COBRE NU # 35 MM2</t>
  </si>
  <si>
    <t>11.91.06</t>
  </si>
  <si>
    <t>CABO DE COBRE NU # 50 MM2</t>
  </si>
  <si>
    <t>11.92.03</t>
  </si>
  <si>
    <t>CAIXA EQUALIZACAO DE POLIPROPILENO 180X145MM B.6MM</t>
  </si>
  <si>
    <t>SPDA-VLC-005</t>
  </si>
  <si>
    <t>VLC SLIM CLASSE 1 275V 12,5/60KA</t>
  </si>
  <si>
    <t>11.92.06</t>
  </si>
  <si>
    <t>11.92.01</t>
  </si>
  <si>
    <t>TERMINAL AEREO (CAPTOR), ACO GALV. D= 3/8"X250MM</t>
  </si>
  <si>
    <t>SPDA-CON-005</t>
  </si>
  <si>
    <t>CONECTOR MINI-GAR</t>
  </si>
  <si>
    <t>SPDA-PRO-005</t>
  </si>
  <si>
    <t>11.92.15</t>
  </si>
  <si>
    <t>CONECTOR EMENDA E MEDICAO P/CABOS COBRE 16 A 50MM2</t>
  </si>
  <si>
    <t>SPDA-CON-020</t>
  </si>
  <si>
    <t>CONECTOR SPLIT-BOLT 35 MM²</t>
  </si>
  <si>
    <t>SPDA-CON-030</t>
  </si>
  <si>
    <t>SPDA-CXS-020</t>
  </si>
  <si>
    <t>CAIXA DE INSPEÇÃO EM PVC 300X300 MM COM TAPA EM FERRO FUNDIDO</t>
  </si>
  <si>
    <t>11.92.18</t>
  </si>
  <si>
    <t>HASTE ALTA CAMADA 254 MICRONS 5/8"X2,40M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</si>
  <si>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</si>
  <si>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</si>
  <si>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</si>
  <si>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</si>
  <si>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</si>
  <si>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</si>
  <si>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</si>
  <si>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</si>
  <si>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</si>
  <si>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</si>
  <si>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</si>
  <si>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</si>
  <si>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5.1.3</t>
  </si>
  <si>
    <t>5.2</t>
  </si>
  <si>
    <t>5.2.1</t>
  </si>
  <si>
    <t>5.2.2</t>
  </si>
  <si>
    <t>6.1</t>
  </si>
  <si>
    <t>8.2</t>
  </si>
  <si>
    <t>8.4</t>
  </si>
  <si>
    <t>8.5</t>
  </si>
  <si>
    <t>1.10</t>
  </si>
  <si>
    <t>1.11</t>
  </si>
  <si>
    <t>LUMINÁRIA CHANFRADA PARA LÂMPADA FLUORESCENTE 2 X 32 W OU 2 X40 W, COMPLETA</t>
  </si>
  <si>
    <t>PROJETOR EXTERNO PARA LÂMPADA A VAPOR DE MERCÚRIO , DE IODETO METÁLICO OU DE SÓDIO, COM ÂNGULO REGULÁVEL, COM ALOJAMENTO PARA REATOR, COMPLETO</t>
  </si>
  <si>
    <t>REGIÃO/MÊS DE REFERÊNCIA: SUDECAP MAR/17 - SETOP MAR/17 - SINAPI ABRIL/17</t>
  </si>
  <si>
    <t>44.01.09</t>
  </si>
  <si>
    <t>ALMOXARIFE</t>
  </si>
  <si>
    <t>44.01.05</t>
  </si>
  <si>
    <t>TECNICO DE SEGURANCA</t>
  </si>
  <si>
    <t>44.01.12</t>
  </si>
  <si>
    <t>SERVENTE</t>
  </si>
  <si>
    <t>COMPOSIÇÃO</t>
  </si>
  <si>
    <t>GASTO DE OBRA (MÊS/HOMEM)</t>
  </si>
  <si>
    <t>90772</t>
  </si>
  <si>
    <t xml:space="preserve">AUXILIAR DE ESCRITORIO COM ENCARGOS COMPLEMENTARES </t>
  </si>
  <si>
    <t>01.09.05</t>
  </si>
  <si>
    <t>VESTIARIO C/ 7 CHUVEIROS E 2 LAVATORIOS COMPLETO</t>
  </si>
  <si>
    <t>93209</t>
  </si>
  <si>
    <t xml:space="preserve">EXECUÇÃO DE ALMOXARIFADO EM CANTEIRO DE OBRA EM ALVENARIA, INCLUSO PRATELEIRAS. AF_02/2016 </t>
  </si>
  <si>
    <t>01.09.08</t>
  </si>
  <si>
    <t>VESTIARIO COM BANCO E ARMARIO</t>
  </si>
  <si>
    <t>1.12</t>
  </si>
  <si>
    <t>1.13</t>
  </si>
  <si>
    <t>1.14</t>
  </si>
  <si>
    <t>1.15</t>
  </si>
  <si>
    <t>1.16</t>
  </si>
  <si>
    <t>1.17</t>
  </si>
  <si>
    <t xml:space="preserve">Nº do Processo: </t>
  </si>
  <si>
    <t>Nº do Edital:</t>
  </si>
  <si>
    <t>Data:__05/_07/2017</t>
  </si>
  <si>
    <t>FUNCIONÁRIO</t>
  </si>
  <si>
    <t>Uniforme</t>
  </si>
  <si>
    <t>Vale-Transporte</t>
  </si>
  <si>
    <t>Desconto legal sobre transporte (máximo 6% do salário-base)</t>
  </si>
  <si>
    <t xml:space="preserve">TOTAL POR FUNCIONÁRIO- </t>
  </si>
  <si>
    <t>Responsável técnico pela elaboração da planilha: GRACE LIMA DO AMARAL CREA 69 379/D</t>
  </si>
  <si>
    <t>06.03.07</t>
  </si>
  <si>
    <t>AÇO CA50 / CA60, INCLUSIVE CORTE, DOBRA E MONTAGEM EM FUNDAÇÃO</t>
  </si>
  <si>
    <t>IMP-MAN-005</t>
  </si>
  <si>
    <t>COLOCAÇÃO DE MANTA GEOTÊXTIL</t>
  </si>
  <si>
    <t>URB-DRE-005</t>
  </si>
  <si>
    <t>FORNECIMENTO E LANÇAMENTO DE BRITA EM DRENO E PÁTIO</t>
  </si>
  <si>
    <t>URB-DRE-010</t>
  </si>
  <si>
    <t>FORNECIMENTO E LANÇAMENTO DE AREIA EM DRENO E PÁTIO</t>
  </si>
  <si>
    <t>10.24.13</t>
  </si>
  <si>
    <t>TORNEIRA DE PRESSÃO METAL CROMADO PARA TANQUE DE PAREDE - 1ª LINHA DE MERCADO</t>
  </si>
  <si>
    <t>5.1.1</t>
  </si>
  <si>
    <t>5.1.2</t>
  </si>
  <si>
    <t>13.3</t>
  </si>
  <si>
    <t>13.4</t>
  </si>
  <si>
    <t>14.1</t>
  </si>
  <si>
    <t>8.3</t>
  </si>
  <si>
    <t>OBRA: AMPLIAÇÃO E REFORMA DA CRECHE MARIA DOS ANJOS</t>
  </si>
  <si>
    <t>DATA: 26/06/2017</t>
  </si>
  <si>
    <t>LOCAL: RUA DOS OPERÁRIOS, 800 - BAIRRO: BELA VISTA</t>
  </si>
  <si>
    <t xml:space="preserve"> </t>
  </si>
  <si>
    <t>AMPLIAÇÃO E REFORMA DA CRECHE MARIA DOS ANJOS</t>
  </si>
  <si>
    <t>CONFERIR VALOR</t>
  </si>
  <si>
    <t>02.07.01</t>
  </si>
  <si>
    <t>REMOÇÃO DE ESQUADRIAS METALICAS - PORTAS E JANELAS</t>
  </si>
  <si>
    <t>02.06.01</t>
  </si>
  <si>
    <t>REMOÇÃO DE ESQUADRIAS MADEIRA INCLUSIVE EMPILHAMENTO - PORTAS, MARCOS E ALIZARES</t>
  </si>
  <si>
    <t>02.10.01</t>
  </si>
  <si>
    <t>DEMOLIÇÃO DE PISO CIMENTADO OU CONTRAPISO DE ARGAMASSA INCLUSIVE AFASTAMENTO</t>
  </si>
  <si>
    <t>02.10.08</t>
  </si>
  <si>
    <t>DEMOLIÇÃO DE PISO EM MARMORITE INCLUSIVE AFASTAMENTO</t>
  </si>
  <si>
    <t>DEM-CON-005</t>
  </si>
  <si>
    <t>DEMOLIÇÃO DE CONCRETO SIMPLES-MANUAL, INCLUSIVE AFASTAMENTO</t>
  </si>
  <si>
    <t>DEM-PAV-005</t>
  </si>
  <si>
    <t>DEMOLIÇÃO DE PAVIMENTAÇÃO COM PRÉ-MOLDADO DE CONCRETO</t>
  </si>
  <si>
    <t>DEM-ALV-005</t>
  </si>
  <si>
    <t>DEMOLIÇÃO DE ALVENARIA DE TIJOLO E BLOCO SEM APROVEITAMENTO DO MATERIAL, INCLUSIVE AFASTAMENTO</t>
  </si>
  <si>
    <t>02.21.05</t>
  </si>
  <si>
    <t>REMOÇÃO DE LUMINÁRIAS FLUORESCENTES</t>
  </si>
  <si>
    <t>REMOCAO DE TOMADAS OU INTERRUPTORES ELETRICOS</t>
  </si>
  <si>
    <t>CARGA E DESCARGA MECANIZADAS DE ENTULHO EM CAMINHAO BASCULANTE 6 M3</t>
  </si>
  <si>
    <t>02.26.01</t>
  </si>
  <si>
    <t>TRANSPORTE DE MATERIAL DE QUALQUER NATUREZA CARRINHO DE MÃO DMT &lt;= 50 M</t>
  </si>
  <si>
    <t>2.15</t>
  </si>
  <si>
    <t>2.16</t>
  </si>
  <si>
    <t>2.17</t>
  </si>
  <si>
    <t>62.01.22</t>
  </si>
  <si>
    <t>PROJETO HIDRAULICO / SANITARIO</t>
  </si>
  <si>
    <t>2.18</t>
  </si>
  <si>
    <t>2.19</t>
  </si>
  <si>
    <t>2.20</t>
  </si>
  <si>
    <t>2.21</t>
  </si>
  <si>
    <t>TERRAPLENAGEM</t>
  </si>
  <si>
    <t>ESCAVAÇÃO E CARGA MECANIZADA EM MATERIAL DE 1ª CATEGORIA INCLUSIVE TRANSPORTE ATE 50 M</t>
  </si>
  <si>
    <t>3.2</t>
  </si>
  <si>
    <t>TER-ATE-015</t>
  </si>
  <si>
    <t>ATERRO COMPACTADO MANUAL, COM SOQUETE</t>
  </si>
  <si>
    <t>3.3</t>
  </si>
  <si>
    <t>CARGA DE MATERIAL DE QQUER NATUREZA SOBRE CAMINHÃO MECÂNICA</t>
  </si>
  <si>
    <t>3.4</t>
  </si>
  <si>
    <t>TRANSPORTE DE MATERIAL DE QUALQUER NATUREZA DMT &gt; 5 KM</t>
  </si>
  <si>
    <t>M³KM</t>
  </si>
  <si>
    <t>3.5</t>
  </si>
  <si>
    <t>40.32.10</t>
  </si>
  <si>
    <t>ESCAV. MECANICA DE VALAS C/ DESC. LATERAL H&lt;=1,5M</t>
  </si>
  <si>
    <t>ESTRUTURAS</t>
  </si>
  <si>
    <t>SAPATAS ISOLADAS E SAPATAS CORRIDAS E VIGAS DE FUNDAÇÃO E MURO DE ARRIMO</t>
  </si>
  <si>
    <t>4.1.1</t>
  </si>
  <si>
    <t>40.32.05</t>
  </si>
  <si>
    <t>ESCAVAÇÃO MANUAL DE VALAS H &lt; 1,50 M</t>
  </si>
  <si>
    <t>4.1.2</t>
  </si>
  <si>
    <t>REATERRO DE VALA COMPACTADO COM EQUIP. PLACA VIBRATORIA OU EQUIVALENTE</t>
  </si>
  <si>
    <t>4.1.3</t>
  </si>
  <si>
    <t>TER-REG-010</t>
  </si>
  <si>
    <t>REGULARIZAÇÃO E COMPACTAÇÃO DE TERRENO COM PLACA VIBRATÓRIA</t>
  </si>
  <si>
    <t>4.1.4</t>
  </si>
  <si>
    <t>19.53.01</t>
  </si>
  <si>
    <t>LASTRO DE PEDRA BRITADA</t>
  </si>
  <si>
    <t>4.1.5</t>
  </si>
  <si>
    <t>06.01.16</t>
  </si>
  <si>
    <t>FORMA, ESCORAMENTO, DESFORMA E LIMPEZA - ESTRUTURA DE COMPENSADO PLASTIFICADO 19MM C/7APROVEITAMENTOS</t>
  </si>
  <si>
    <t>4.1.6</t>
  </si>
  <si>
    <t>4.1.7</t>
  </si>
  <si>
    <t>06.07.20</t>
  </si>
  <si>
    <t>CONCRETO FCK 20,0 MPA - USINADO E BOMBEADO</t>
  </si>
  <si>
    <t>4.1.8</t>
  </si>
  <si>
    <t>09.12.01</t>
  </si>
  <si>
    <t>IMPERMEABILIZAÇÃO COM PINTURA  ASFALTICA IMPERMEABILIZANTE</t>
  </si>
  <si>
    <t>4.1.9</t>
  </si>
  <si>
    <t>HID-TUB-385</t>
  </si>
  <si>
    <t>TUBO DE PVC BRANCO ROSCÁVEL Ø 2"</t>
  </si>
  <si>
    <t>4.1.10</t>
  </si>
  <si>
    <t>4.1.11</t>
  </si>
  <si>
    <t>4.1.12</t>
  </si>
  <si>
    <t>SUPERESTRUTURA (VIGAS E PILARES)</t>
  </si>
  <si>
    <t>4.2.1</t>
  </si>
  <si>
    <t>40.20.15</t>
  </si>
  <si>
    <t>FORMA DE COMPENSADO RESINADO E=12MM TIPO B (3 APR)</t>
  </si>
  <si>
    <t>4.2.2</t>
  </si>
  <si>
    <t>AÇO CA50 / CA60, INCLUSIVE CORTE, DOBRA E MONTAGEM</t>
  </si>
  <si>
    <t>4.2.3</t>
  </si>
  <si>
    <t>4.2.4</t>
  </si>
  <si>
    <t>74141/004</t>
  </si>
  <si>
    <t>LAJE PRE-MOLD BETA 20 P/3,5KN/M2 VAO 6,2M INCL VIGOTAS TIJOLOS ARMADURA NEGATIVA CAPEAMENTO 3CM CONCRETO 15MPA ESCORAMENTO MATERIAL E MAO DE OBRA.</t>
  </si>
  <si>
    <t>ALVENARIAS E DIVISÕES</t>
  </si>
  <si>
    <t>40.30.20</t>
  </si>
  <si>
    <t xml:space="preserve">EXECUÇÃO DE ALVENARIA DE TIJOLO FURADO (BLOCO CERÂMICO DE VEDAÇÃO) E = 10CM ASSENTES COM ARGAMASSA DE CIMENTO E AREIA 1:6 </t>
  </si>
  <si>
    <t>40.30.21</t>
  </si>
  <si>
    <t xml:space="preserve">EXECUÇÃO DE ALVENARIA DE TIJOLO FURADO (BLOCO CERÂMICO DE VEDAÇÃO) E = 15CM ASSENTES COM ARGAMASSA DE CIMENTO E AREIA 1:6 </t>
  </si>
  <si>
    <t>DIV-PED-015</t>
  </si>
  <si>
    <t>DIVISÓRIA EM GRANITO CINZA ANDORINHAS E=3CM</t>
  </si>
  <si>
    <t>5.1.4</t>
  </si>
  <si>
    <t>DIV-PAI-010</t>
  </si>
  <si>
    <t>DIVISÓRIA EM PAINEL REMOVÍVEL, NÚCLEO COMPENSADO NAVAL - P.ALUMÍNIO TIPO C</t>
  </si>
  <si>
    <t>5.1.5</t>
  </si>
  <si>
    <t>DIV-PAI-015</t>
  </si>
  <si>
    <t>CONJUNTO DE FERRAGENS PARA CONFECÇÃO DE PORTA DE DIVISÓRIA</t>
  </si>
  <si>
    <t>5.1.6</t>
  </si>
  <si>
    <t>07.35.02</t>
  </si>
  <si>
    <t>VERGAS E CONTRAVERGAS EMBUTIDAS NAS PAREDES</t>
  </si>
  <si>
    <t>ESQUADRIAS</t>
  </si>
  <si>
    <t>12.04.33</t>
  </si>
  <si>
    <t>P1 - PORTA ABRIR EM MADEIRA DE LEI, PRANCHETA COMPLETA 80 X 210 CM, 557-E69-ML60 CROMADA</t>
  </si>
  <si>
    <t>12.03.06</t>
  </si>
  <si>
    <t>PORTA ABRIR MAD. LEI, PRANCHETA COMPLETA / TARJETA 55x160CM, MARCO FERRO L 1 1/4x1/8",TARJ. LIVRE-OC.</t>
  </si>
  <si>
    <t>5.2.3</t>
  </si>
  <si>
    <t>48.78.06</t>
  </si>
  <si>
    <t>J1 - MAXIMO AR DE METALON 0,60x2,00M</t>
  </si>
  <si>
    <t>5.2.4</t>
  </si>
  <si>
    <t>SER-JAN-006</t>
  </si>
  <si>
    <t>FORNECIMENTO E ASSENTAMENTO DE JANELA DE CORRER EM FERRO</t>
  </si>
  <si>
    <t>5.2.5</t>
  </si>
  <si>
    <t>SER-POR-055</t>
  </si>
  <si>
    <t>PORTÃO DE GRADE COLOCADO COM CADEADO</t>
  </si>
  <si>
    <t>5.2.6</t>
  </si>
  <si>
    <t>16.02.03</t>
  </si>
  <si>
    <t>VIDRO LISO INCOLOR 4MM</t>
  </si>
  <si>
    <t>PISOS E RODAPÉS</t>
  </si>
  <si>
    <t>03.23.03</t>
  </si>
  <si>
    <t>REGULARIZAÇAO E COMPACTAÇAO DE TERRENO COM PLACA VIBRATORIA</t>
  </si>
  <si>
    <t>15.04.06</t>
  </si>
  <si>
    <t>EXECUÇÃO DE CONTRAPISO DESEMPENADO, COM ARGAMASSA CIMENTO E AREIA 1:3 SEM JUNTA E = 2,5CM (ÁREA MOLHADA)</t>
  </si>
  <si>
    <t>6.3</t>
  </si>
  <si>
    <t>PIS-MIT-005</t>
  </si>
  <si>
    <t>EXECUÇÃO DE PISO EM MARMORITE COM JUNTA PLÁSTICA (1X1M)</t>
  </si>
  <si>
    <t>6.4</t>
  </si>
  <si>
    <t>PIS-MIT-025</t>
  </si>
  <si>
    <t>LIMPEZA E POLIMENTO DE PISO MARMORITE</t>
  </si>
  <si>
    <t>6.5</t>
  </si>
  <si>
    <t>PIN-ACR-050</t>
  </si>
  <si>
    <t>PINTURA COM TINTA A BASE DE RESINA ACRÍLICA SOBRE PISOS CIMENTADOS LIMPOS</t>
  </si>
  <si>
    <t>6.6</t>
  </si>
  <si>
    <t>URB-PAS-005</t>
  </si>
  <si>
    <t>EXECUÇÃO DE PASSEIO  EM CONCRETO FCK&gt;=15MPA 6CM, JUNTA SECA 3M MANUAL</t>
  </si>
  <si>
    <t>6.7</t>
  </si>
  <si>
    <t>15.25.05</t>
  </si>
  <si>
    <t>PISO VINILICO 30 X 30 CM E= 2 MM FIXADO COM COLA</t>
  </si>
  <si>
    <t>REVESTIMENTOS</t>
  </si>
  <si>
    <t>14.05.07</t>
  </si>
  <si>
    <t>CHAPISCO COM ARGAMASSA DE CIMENTO E AREIA 1:3 (PAREDES E PILARES A VISTA)</t>
  </si>
  <si>
    <t>7.2</t>
  </si>
  <si>
    <t>14.05.21</t>
  </si>
  <si>
    <t xml:space="preserve">EMBOÇO ARGAMASSA DE CIMENTO E AREIA 1:6 </t>
  </si>
  <si>
    <t>7.3</t>
  </si>
  <si>
    <t>14.05.31</t>
  </si>
  <si>
    <t xml:space="preserve">REBOCO ARGAMASSA DE CIMENTO E AREIA 1:6 </t>
  </si>
  <si>
    <t>7.4</t>
  </si>
  <si>
    <t>14.15.06</t>
  </si>
  <si>
    <t>FORNECIMENTO E ASSENTAMENTO DE CERÂMICA BRANCA 20X20 (1ª LINHA) EM PAREDES COM ARGAMASSA PRÉ-FABRICADA AC II CIMENTO COLANTE (ÁREA MOLHADA ATÉ O TETO)</t>
  </si>
  <si>
    <t>7.5</t>
  </si>
  <si>
    <t>17.15.09</t>
  </si>
  <si>
    <t>PINTURA ACRÍLICA, C/ MASSA ACRÍLICA EM REBOCO C/ FUNDO PREPARADOR 1ª LINHA DE MERCADO (PAREDES INTERNA E TETOS) PADRÃO PMLS</t>
  </si>
  <si>
    <t>7.6</t>
  </si>
  <si>
    <t>17.15.04</t>
  </si>
  <si>
    <t>PINTURA ACRÍLICA, S/ MASSA ACRÍLICA  EM REBOCO C/ FUNDO PREPARADOR 1ª LINHA DE MERCADO E SELADOR ACRÍLICO PAREDES EXTERNA - PADRÃO PMLS</t>
  </si>
  <si>
    <t>7.7</t>
  </si>
  <si>
    <t>17.25.33</t>
  </si>
  <si>
    <t>PINTURA ESMALTE SINTÉTICO 1ª LINHA DE MERCADO COM FUNDO ANTIOXIDANTE EM ESQUADRIAS METÁLICAS - PADRÃO PMLS</t>
  </si>
  <si>
    <t>7.8</t>
  </si>
  <si>
    <t>17.25.24</t>
  </si>
  <si>
    <t>PINTURA ESMALTE SINTÉTICO 1ª LINHA DE MERCADO C/ MASSA E COM FUNDO BR EM ESQUADRIAS DE MADEIRA - PADRÃO PMLS</t>
  </si>
  <si>
    <t>COBERTURA</t>
  </si>
  <si>
    <t>08.01.01</t>
  </si>
  <si>
    <t>ENGRADAMENTO EM MADEIRA PARAJÚ PARA COBERTURA DE TELHA CERAMICA COM TESOURAS COMPLETO</t>
  </si>
  <si>
    <t>COB-TEL-015</t>
  </si>
  <si>
    <t>COBERTURA EM TELHA CERÂMICA COLONIAL CURVA, 26 UNID/M2</t>
  </si>
  <si>
    <t>08.85.45</t>
  </si>
  <si>
    <t>CALHA EM CHAPA DE AÇO GALVANIZADO N.24 - DESENVOLVIMENTO 66CM</t>
  </si>
  <si>
    <t xml:space="preserve"> M </t>
  </si>
  <si>
    <t>08.87.43</t>
  </si>
  <si>
    <t>RUFO EM CHAPA GALVANIZADO N. 24 - DESENVOLVIMENTO 20CM</t>
  </si>
  <si>
    <t>08.15.01</t>
  </si>
  <si>
    <t>CUMMEIRA CERÂMICA</t>
  </si>
  <si>
    <t>8.6</t>
  </si>
  <si>
    <t>10.70.25</t>
  </si>
  <si>
    <t>CAIXA COLETORA DE ALVENARIA C/ GRELHA DE AÇO 50 X  50 X  80 CM – PADRÃO SUDECAP</t>
  </si>
  <si>
    <t>8.7</t>
  </si>
  <si>
    <t>10.10.05</t>
  </si>
  <si>
    <t>TUBO PBV DE PVC BRANCO PARA ESGOTO SERIE NORMAL, INCL. CONEXÕES (DIÂMETRO DA SEÇÃO:150,00 MM)</t>
  </si>
  <si>
    <t>8.8</t>
  </si>
  <si>
    <t>10.10.04</t>
  </si>
  <si>
    <t>TUBO PBV DE PVC BRANCO PARA ESGOTO SERIE NORMAL, INCL. CONEXÕES (DIÂMETRO DA SEÇÃO:100,00 MM)</t>
  </si>
  <si>
    <t>8.9</t>
  </si>
  <si>
    <t>19.31.08</t>
  </si>
  <si>
    <t>CANALETA TIPO 3 -30X20CM CONCRETO 15MPA C/ TAMPA DE CONCRETO - PADRÃO SUDECAP</t>
  </si>
  <si>
    <t xml:space="preserve">BANCADAS </t>
  </si>
  <si>
    <t>BAN-GRA-005</t>
  </si>
  <si>
    <t xml:space="preserve">BANCADA EM GRANITO CINZA ANDORINHA E = 3CM APOIADA CONSOLE METALON </t>
  </si>
  <si>
    <t>9.2</t>
  </si>
  <si>
    <t>BAN-ROD-010</t>
  </si>
  <si>
    <t>RODABANCA EM GRANITO CINZA ANDORINHA E = 2CM, H = 10CM</t>
  </si>
  <si>
    <t>DIVERSOS</t>
  </si>
  <si>
    <t>13.55.02</t>
  </si>
  <si>
    <t xml:space="preserve">ALÇAPÃO 80X80CM, CAXILHO CHAPA 18 </t>
  </si>
  <si>
    <t>SEE-QUA-020</t>
  </si>
  <si>
    <t>QUADRO PARA PINCEL ATÔMICO, EM CHAPA RESINADA (310 X 131 CM), COMPLETO</t>
  </si>
  <si>
    <t>18.30.08</t>
  </si>
  <si>
    <t>BARRAMENTO DE MADEIRA PARA SALA DE AULA, SALA DE INFORMÁTICA, SALA MULTIUSO L=  7 CM</t>
  </si>
  <si>
    <t>PAI-GRA-010</t>
  </si>
  <si>
    <t>PLANTIO DE GRAMA SÃO CARLOS EM PLACAS, INCLUSIVE TERRA VEGETAL E CONSERVAÇÃO POR 30 DIAS</t>
  </si>
  <si>
    <t>13.40.65</t>
  </si>
  <si>
    <t>BARRA APOIO DEFICIENTE TUBO METAL CROMADO D=1 1/2", CONFORME NBR Nº 9050</t>
  </si>
  <si>
    <t>16.20.01</t>
  </si>
  <si>
    <t>ESPELHO NACIONAL E= 4MM, COLOCADO COM PARAFUSO FINESON</t>
  </si>
  <si>
    <t>HID-DAG-015</t>
  </si>
  <si>
    <t>CAIXA DÁGUA DE POLIETILENO COM TAMPA 1000 L</t>
  </si>
  <si>
    <t>INSTALAÇÕES HIDRÁULICAS</t>
  </si>
  <si>
    <t>11.1.1</t>
  </si>
  <si>
    <t>11.1.2</t>
  </si>
  <si>
    <t>10.24.37</t>
  </si>
  <si>
    <t>TORNEIRA DE BÓIA EM LATÃO C/ BÓIA PLÁSTICA PARA CAIXA D'ÁGUA (DIÂMETRO DA SEÇÃO: 3/4 ")</t>
  </si>
  <si>
    <t>11.1.3</t>
  </si>
  <si>
    <t>MET-LIG-005</t>
  </si>
  <si>
    <t>LIGAÇÃO FLEXÍVEL PARA BIDÊ, LAVATÓRIO, MICTÓRIO 1/2"</t>
  </si>
  <si>
    <t>11.1.4</t>
  </si>
  <si>
    <t>MET-LIG-010</t>
  </si>
  <si>
    <t>LIGAÇÃO PARA SAÍDA DE VASO SANITÁRIO PVC CROMADO</t>
  </si>
  <si>
    <t>11.1.5</t>
  </si>
  <si>
    <t>10.22.05</t>
  </si>
  <si>
    <t>REGISTRO DE GAVETA C/ CANOPLA - 1ª LINHA DE MERCADO (DIÂM. DA SEÇÃO: 1 1/2 ")</t>
  </si>
  <si>
    <t>11.1.6</t>
  </si>
  <si>
    <t>10.22.43</t>
  </si>
  <si>
    <t>REGISTRO DE GAVETA C/ CANOPLA - 1ª LINHA DE MERCADO (DIÂM. DA SEÇÃO: 1 ")</t>
  </si>
  <si>
    <t>11.1.7</t>
  </si>
  <si>
    <t>10.20.12</t>
  </si>
  <si>
    <t>REGISTRO DE PRESSÃO COM CANOPLA - 1ª LINHA DE MERCADO (BITOLA: 3/4")</t>
  </si>
  <si>
    <t>11.1.8</t>
  </si>
  <si>
    <t>10.25.25</t>
  </si>
  <si>
    <t>VÁLVULA DE DESCARGA METÁLICA COM REGISTRO INTERNO (DIÂMETRO DA SEÇÃO: 1 1/2 ")</t>
  </si>
  <si>
    <t>11.1.9</t>
  </si>
  <si>
    <t>10.24.21</t>
  </si>
  <si>
    <t>TORNEIRA DE PRESSÃO PARA LAVATÓRIO DE MESA CROMADA - 1ª LINHA DE MERCADO</t>
  </si>
  <si>
    <t>11.1.10</t>
  </si>
  <si>
    <t>11.1.11</t>
  </si>
  <si>
    <t>ACE-BEB-020</t>
  </si>
  <si>
    <t>BEBEDOURO MG-F INFANTIL INOX</t>
  </si>
  <si>
    <t>11.1.12</t>
  </si>
  <si>
    <t>LOU-CUB-005</t>
  </si>
  <si>
    <t>CUBA DE LOUÇA BRANCA DE EMBUTIR, OVAL, INCLUSIVE VÁLVULA, SIFÃO E LIGAÇÕES CROMADAS</t>
  </si>
  <si>
    <t>11.1.13</t>
  </si>
  <si>
    <t>10.40.12</t>
  </si>
  <si>
    <t>LAVATÓRIO DE LOUÇA BRANCA INCLUSIVE COLUNA COMPLETO - 1ª LINHA DE MERCADO</t>
  </si>
  <si>
    <t>11.1.14</t>
  </si>
  <si>
    <t>10.27.51</t>
  </si>
  <si>
    <t>TUBO DE LIGAÇÃO DE LATÃO C/ CANOPLA PARA BACIA (COMPRIMENTO: 250,00 MM; DIÂMETRO DA SEÇÃO: 1 1/2 "; TIPO DE ACABAMENTO: CROMADO)</t>
  </si>
  <si>
    <t>11.1.15</t>
  </si>
  <si>
    <t>10.41.06</t>
  </si>
  <si>
    <t>VASO SANITARIO INFANTIL BRANCA, CELITE / EQUIVALENTE COMPLETO</t>
  </si>
  <si>
    <t>11.1.16</t>
  </si>
  <si>
    <t>10.48.17</t>
  </si>
  <si>
    <t>ASSENTO PLÁSTICO PARA BACIA INFANTIL - 1ª LINHA DE MERCADO</t>
  </si>
  <si>
    <t>11.1.17</t>
  </si>
  <si>
    <t>10.27.47</t>
  </si>
  <si>
    <t>TUBO PARA VÁLVULA DESCARGA COM ADAPTADOR D= 1 1/2"</t>
  </si>
  <si>
    <t>11.1.18</t>
  </si>
  <si>
    <t>10.48.03</t>
  </si>
  <si>
    <t>PAPELEIRA EM GANCHO CROMADO</t>
  </si>
  <si>
    <t>11.1.19</t>
  </si>
  <si>
    <t>10.48.07</t>
  </si>
  <si>
    <t>MEIA SABONETEIRA EM LOUÇA BRANCA 15 X 7,5 CM - CELITE OU SIMILAR</t>
  </si>
  <si>
    <t>11.1.20</t>
  </si>
  <si>
    <t xml:space="preserve">ACE-PAP-020 </t>
  </si>
  <si>
    <t xml:space="preserve">PORTA PAPEL TOALHA 2 OU 3 DOBRAS, PLÁSTICO MIX </t>
  </si>
  <si>
    <t>INSTALAÇÕES SANITÁRIAS</t>
  </si>
  <si>
    <t>11.2.1</t>
  </si>
  <si>
    <t>INST-ESG-005</t>
  </si>
  <si>
    <t>PONTO DE ESGOTO, INCLUINDO TUBO DE PVC RÍGIDO SOLDÁVEL DE 40 MM E CONEXÕES (LAVATÓRIOS, MICTÓRIOS, RALOS SIFONADOS, ETC.)</t>
  </si>
  <si>
    <t>11.2.2</t>
  </si>
  <si>
    <t>INST-ESG-015</t>
  </si>
  <si>
    <t>PONTO DE ESGOTO, INCLUINDO TUBO DE PVC RÍGIDO SOLDÁVEL DE 100MM E CONEXÕES (VASO SANITÁRIO)</t>
  </si>
  <si>
    <t>11.2.5</t>
  </si>
  <si>
    <t>10.48.42</t>
  </si>
  <si>
    <t>TERMINAL DE VENTILAÇÃO DE PVC BRANCO PARA ESGOTO SÉRIE NORMAL ( DIÂMETRO DA SEÇÃO 75,00MM)</t>
  </si>
  <si>
    <t>11.2.6</t>
  </si>
  <si>
    <t>HID-RAL-010</t>
  </si>
  <si>
    <t>RALO SECO DE PVC COM GRELHA DE PVC BRANCO (FORMATO DA SEÇÃO TRANSVERSAL: QUADRADA / ALTURA: 50,00 MM / DIÂMETRO DE ENTRADA: 40,00 MM / LADOS DO QUADRADO: 100,00 MM)</t>
  </si>
  <si>
    <t>11.2.7</t>
  </si>
  <si>
    <t>10.27.63</t>
  </si>
  <si>
    <t>SIFÃO PLÁSTICO PARA PIA /LAVATÓRIO TIPO COPO</t>
  </si>
  <si>
    <t>11.2.8</t>
  </si>
  <si>
    <t>MET-VAL-029</t>
  </si>
  <si>
    <t>VÁLVULA PARA LAVATÓRIO - 1ª LINHA DE MERCADO</t>
  </si>
  <si>
    <t>11.2.9</t>
  </si>
  <si>
    <t>MET-VAL-035</t>
  </si>
  <si>
    <t>VÁLVULA PARA PIA 3 1/2X1 1/2" - 1ª LINHA DE MERCADO</t>
  </si>
  <si>
    <t>11.2.12</t>
  </si>
  <si>
    <t>HID-SIF-035</t>
  </si>
  <si>
    <t>CAIXA SIFONADA DE PVC PARA ESGOTO SANITÁRIO (DIÂMETRO DA CAIXA: 150,00MM / ALTURA: 185,00MM / DIÂMETRO DE SAÍDA: 75,00MM / DIÂMETRO DE ENTRADA: 40,00MM / FORMATO DA GRELHA: QUADRADO TIPO CROMADAS / NÚMERO DE ENTRADAS: 5)</t>
  </si>
  <si>
    <t>11.2.16</t>
  </si>
  <si>
    <t>HID-CXS-025</t>
  </si>
  <si>
    <t>CAIXA DE LIGAÇÃO OU INSPEÇÃO PARA ESGOTO -ALVENARIA DE 1 TIJOLO, REVESTIDA (40X40X60CM) COM TAMPA DE CONCRETO</t>
  </si>
  <si>
    <t>ELE-QUA-010</t>
  </si>
  <si>
    <t>QUADRO DE DISTRIBUIÇÃO PARA 42 MÓDULOS COM BARRAMENTO 100 A</t>
  </si>
  <si>
    <t>ELE-DIS-011</t>
  </si>
  <si>
    <t>DISJUNTOR MONOPOLAR TERMOMAGNÉTICO 5KA, DE 32A</t>
  </si>
  <si>
    <t>13.5</t>
  </si>
  <si>
    <t>ELE-DIS-014</t>
  </si>
  <si>
    <t>13.6</t>
  </si>
  <si>
    <t>ELE-DIS-064</t>
  </si>
  <si>
    <t>13.7</t>
  </si>
  <si>
    <t>ELE-DIS-065</t>
  </si>
  <si>
    <t>13.8</t>
  </si>
  <si>
    <t>13.9</t>
  </si>
  <si>
    <t>INTERRUPTOR DIFERENCIAL RESIDUAL BIPOLAR 25A-30MA,2MOD.REF:WRX22530 ELETROMAR/EQUIVALENTE</t>
  </si>
  <si>
    <t>13.10</t>
  </si>
  <si>
    <t>11.20.02</t>
  </si>
  <si>
    <t>INTERRUPTOR DIFERENCIAL RESIDUAL BIPOLAR 40A-30MA,2MOD.REF:WRX22530 ELETROMAR/EQUIVALENTE</t>
  </si>
  <si>
    <t>13.11</t>
  </si>
  <si>
    <t>13.12</t>
  </si>
  <si>
    <t>11.14.21</t>
  </si>
  <si>
    <t>CAIXA DE EMBUTIR EM PVC 4X4" TIGRE OU EQUIVALENTE</t>
  </si>
  <si>
    <t>13.13</t>
  </si>
  <si>
    <t>13.14</t>
  </si>
  <si>
    <t>ELE-CXS-208</t>
  </si>
  <si>
    <t>CAIXA DE PASSAGEM PARA PISO DO TIPO “ZA” 28 X 28 X 40 CM - PASSEIO</t>
  </si>
  <si>
    <t>13.15</t>
  </si>
  <si>
    <t>13.16</t>
  </si>
  <si>
    <t>13.17</t>
  </si>
  <si>
    <t>13.18</t>
  </si>
  <si>
    <t>13.19</t>
  </si>
  <si>
    <t>13.20</t>
  </si>
  <si>
    <t>11.24.06</t>
  </si>
  <si>
    <t>CABO NÃO HALOGENO # 4,0 MM2, ISOLAMENTO 750V</t>
  </si>
  <si>
    <t>13.21</t>
  </si>
  <si>
    <t>13.22</t>
  </si>
  <si>
    <t>13.23</t>
  </si>
  <si>
    <t>C/1 CONDUTOR # 1 X  35,0 MM2, ISOLAMENTO 1KV</t>
  </si>
  <si>
    <t>13.24</t>
  </si>
  <si>
    <t>13.25</t>
  </si>
  <si>
    <t>13.26</t>
  </si>
  <si>
    <t>ELE-TOM-035</t>
  </si>
  <si>
    <t>CONJUNTO DE 1 TOMADA + 1 INTERRUPTOR COM PLACA</t>
  </si>
  <si>
    <t>13.27</t>
  </si>
  <si>
    <t>13.28</t>
  </si>
  <si>
    <t>LUMINÁRIA CHANFRADA PARA LÂMPADA FLUORESCENTE 2 X 16 W OU 2 X20 W, COMPLETA</t>
  </si>
  <si>
    <t>13.29</t>
  </si>
  <si>
    <t>13.30</t>
  </si>
  <si>
    <t>13.31</t>
  </si>
  <si>
    <t>11.56.01</t>
  </si>
  <si>
    <t>POSTE GALVANIZADO ESCALONADO RETO ENGASTADO HT=4,5M / HL=3,8M /B=89MM /DT=60,3MM PADRAO CEMIG</t>
  </si>
  <si>
    <t>13.32</t>
  </si>
  <si>
    <t>13.33</t>
  </si>
  <si>
    <t>13.34</t>
  </si>
  <si>
    <t>MET-CHU-025</t>
  </si>
  <si>
    <t>INSTALAÇÃO DE PONTO CHUVEIRO ELÉTRICO 4000W - 127V</t>
  </si>
  <si>
    <t>13.35</t>
  </si>
  <si>
    <t>ELE-REL-010</t>
  </si>
  <si>
    <t>RELÉ FOTOELÉTRICO RM 10 220 V, 1800 VA COM BASE</t>
  </si>
  <si>
    <t>11.91.03</t>
  </si>
  <si>
    <t>CABO DE COBRE NU # 16 MM2</t>
  </si>
  <si>
    <t>14.2</t>
  </si>
  <si>
    <t>14.3</t>
  </si>
  <si>
    <t>14.4</t>
  </si>
  <si>
    <t>14.5</t>
  </si>
  <si>
    <t>14.6</t>
  </si>
  <si>
    <t>PRPRESILHA LATAO P/CABO 35/50MM2 C/PARAFUSO/BUCHA S6</t>
  </si>
  <si>
    <t>14.7</t>
  </si>
  <si>
    <t>14.8</t>
  </si>
  <si>
    <t>14.9</t>
  </si>
  <si>
    <t>PROTEÇÃO DA CORDOALHA DO PÁRA-RAIO COM TUBO DE PVC RÍGIDO, Ø
50 MM (2"), COMPRIMENTO 3,00 M</t>
  </si>
  <si>
    <t>14.10</t>
  </si>
  <si>
    <t>14.11</t>
  </si>
  <si>
    <t>14.12</t>
  </si>
  <si>
    <t>CONECTOR CABO-HASTE EM BRONZE NATURAL PARA UM CABO DE COBRE
DE 16-70 MM²</t>
  </si>
  <si>
    <t>14.13</t>
  </si>
  <si>
    <t>14.14</t>
  </si>
  <si>
    <t>LIMPEZA DA OBRA</t>
  </si>
  <si>
    <t>LIM-GER-005</t>
  </si>
  <si>
    <t>Assinatura do Responsável Técnico: _____________________________________ Lagoa Santa, 26 de junho de 2017</t>
  </si>
  <si>
    <t>20 FUNCIONÁRIOS/ MÊS</t>
  </si>
  <si>
    <t>PLANILHA DE COMPOSIÇÃO DE CUSTOS E FORMAÇÃO DE PREÇOS UNITÁRIOS DA AMPLIAÇÃO E REFORMA DA CRECHE MARIA DOS ANJOS</t>
  </si>
  <si>
    <t>ITEM 1.8 DA PLANILHA</t>
  </si>
  <si>
    <t>REFORMA E AMPLIAÇÃO DA CRECHE MARIA DOS ANJOS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</si>
</sst>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_ ;[Red]\-0.00\ "/>
    <numFmt numFmtId="177" formatCode="0.000000"/>
    <numFmt numFmtId="178" formatCode="0.00000"/>
    <numFmt numFmtId="179" formatCode="0.0000"/>
    <numFmt numFmtId="180" formatCode="0.000"/>
    <numFmt numFmtId="181" formatCode="&quot;R$ &quot;#,##0.00"/>
    <numFmt numFmtId="182" formatCode="#."/>
    <numFmt numFmtId="183" formatCode="#,##0.0"/>
    <numFmt numFmtId="184" formatCode="_(&quot;R$ &quot;* #,##0.00_);_(&quot;R$ &quot;* \(#,##0.00\);_(&quot;R$ &quot;* \-??_);_(@_)"/>
    <numFmt numFmtId="185" formatCode="_(* #,##0.00_);_(* \(#,##0.00\);_(* \-??_);_(@_)"/>
    <numFmt numFmtId="186" formatCode="&quot;R$ &quot;#,##0.00_);[Red]&quot;(R$ &quot;#,##0.00\)"/>
    <numFmt numFmtId="187" formatCode="0.00_);[Red]\(0.00\)"/>
    <numFmt numFmtId="188" formatCode="#,##0.000000"/>
    <numFmt numFmtId="189" formatCode="#,##0.0000"/>
    <numFmt numFmtId="190" formatCode="0.0000_);[Red]\(0.0000\)"/>
    <numFmt numFmtId="191" formatCode="0.00000000"/>
    <numFmt numFmtId="192" formatCode="0.0000000"/>
    <numFmt numFmtId="193" formatCode="#,##0.000"/>
    <numFmt numFmtId="194" formatCode="0.000_);[Red]\(0.000\)"/>
    <numFmt numFmtId="195" formatCode="0.0%"/>
    <numFmt numFmtId="196" formatCode="0.0"/>
    <numFmt numFmtId="197" formatCode="0.00000_);[Red]\(0.00000\)"/>
    <numFmt numFmtId="198" formatCode="0.000%"/>
    <numFmt numFmtId="199" formatCode="0.0000%"/>
    <numFmt numFmtId="200" formatCode="[$-416]dddd\,\ d&quot; de &quot;mmmm&quot; de &quot;yyyy"/>
    <numFmt numFmtId="201" formatCode="d/m/yy;@"/>
    <numFmt numFmtId="202" formatCode="_(* #,##0.00_);_(* \(#,##0.00\);_(* &quot;&quot;\-&quot;&quot;??_);_(@_)"/>
    <numFmt numFmtId="203" formatCode="&quot;R$ &quot;#,##0.00;[Red]&quot;R$ &quot;#,##0.00"/>
    <numFmt numFmtId="204" formatCode="0.00;[Red]0.00"/>
    <numFmt numFmtId="205" formatCode="&quot;R$&quot;#,##0_);\(&quot;R$&quot;#,##0\)"/>
    <numFmt numFmtId="206" formatCode="&quot;R$&quot;#,##0_);[Red]\(&quot;R$&quot;#,##0\)"/>
    <numFmt numFmtId="207" formatCode="&quot;R$&quot;#,##0.00_);\(&quot;R$&quot;#,##0.00\)"/>
    <numFmt numFmtId="208" formatCode="&quot;R$&quot;#,##0.00_);[Red]\(&quot;R$&quot;#,##0.00\)"/>
    <numFmt numFmtId="209" formatCode="_(&quot;R$&quot;* #,##0_);_(&quot;R$&quot;* \(#,##0\);_(&quot;R$&quot;* &quot;-&quot;_);_(@_)"/>
    <numFmt numFmtId="210" formatCode="_(&quot;R$&quot;* #,##0.00_);_(&quot;R$&quot;* \(#,##0.00\);_(&quot;R$&quot;* &quot;-&quot;??_);_(@_)"/>
    <numFmt numFmtId="211" formatCode="d\ mmmm\,\ yyyy"/>
    <numFmt numFmtId="212" formatCode="mmm/yyyy"/>
    <numFmt numFmtId="213" formatCode="0_);[Red]\(0\)"/>
    <numFmt numFmtId="214" formatCode="00"/>
    <numFmt numFmtId="215" formatCode="[$-416]mmm/yyyy;@"/>
    <numFmt numFmtId="216" formatCode="dd/mm/yy;@"/>
    <numFmt numFmtId="217" formatCode="[$-416]mmmm\-yy;@"/>
    <numFmt numFmtId="218" formatCode="[$-416]mmm\-yyyy;@"/>
    <numFmt numFmtId="219" formatCode="[$-416]mmmm\-yyyy;@"/>
    <numFmt numFmtId="220" formatCode="mmmm\-yyyy;@"/>
    <numFmt numFmtId="221" formatCode="_(* #,##0.0_);_(* \(#,##0.0\);_(* &quot;-&quot;??_);_(@_)"/>
    <numFmt numFmtId="222" formatCode="_(* #,##0_);_(* \(#,##0\);_(* &quot;-&quot;??_);_(@_)"/>
    <numFmt numFmtId="223" formatCode="_(* #,##0.000_);_(* \(#,##0.000\);_(* &quot;-&quot;??_);_(@_)"/>
    <numFmt numFmtId="224" formatCode="_(* #,##0.0000_);_(* \(#,##0.00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9"/>
      <color indexed="10"/>
      <name val="Geneva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2"/>
      <color indexed="8"/>
      <name val="Calibri"/>
      <family val="2"/>
    </font>
    <font>
      <b/>
      <sz val="12"/>
      <name val="Arial"/>
      <family val="0"/>
    </font>
    <font>
      <b/>
      <sz val="11"/>
      <name val="Calibri"/>
      <family val="2"/>
    </font>
    <font>
      <b/>
      <sz val="11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57"/>
      </right>
      <top style="thin">
        <color indexed="57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82" fontId="8" fillId="0" borderId="0">
      <alignment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182" fontId="8" fillId="0" borderId="0">
      <alignment/>
      <protection locked="0"/>
    </xf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ill="0" applyBorder="0" applyAlignment="0" applyProtection="0"/>
    <xf numFmtId="21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182" fontId="8" fillId="0" borderId="0">
      <alignment/>
      <protection locked="0"/>
    </xf>
    <xf numFmtId="18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182" fontId="18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2" fontId="21" fillId="0" borderId="0">
      <alignment/>
      <protection locked="0"/>
    </xf>
    <xf numFmtId="182" fontId="21" fillId="0" borderId="0">
      <alignment/>
      <protection locked="0"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vertical="center"/>
    </xf>
    <xf numFmtId="10" fontId="26" fillId="0" borderId="16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left" vertical="center" wrapText="1"/>
    </xf>
    <xf numFmtId="0" fontId="27" fillId="24" borderId="20" xfId="0" applyNumberFormat="1" applyFont="1" applyFill="1" applyBorder="1" applyAlignment="1">
      <alignment horizontal="left" vertical="center" wrapText="1"/>
    </xf>
    <xf numFmtId="171" fontId="6" fillId="24" borderId="20" xfId="271" applyFont="1" applyFill="1" applyBorder="1" applyAlignment="1">
      <alignment horizontal="center" vertical="center"/>
    </xf>
    <xf numFmtId="4" fontId="27" fillId="24" borderId="20" xfId="0" applyNumberFormat="1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9" fillId="0" borderId="2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30" fillId="0" borderId="0" xfId="0" applyFont="1" applyBorder="1" applyAlignment="1">
      <alignment horizontal="justify" vertical="center"/>
    </xf>
    <xf numFmtId="0" fontId="1" fillId="0" borderId="0" xfId="237">
      <alignment/>
      <protection/>
    </xf>
    <xf numFmtId="0" fontId="36" fillId="25" borderId="22" xfId="228" applyFont="1" applyFill="1" applyBorder="1" applyAlignment="1">
      <alignment horizontal="left" vertical="center"/>
      <protection/>
    </xf>
    <xf numFmtId="0" fontId="36" fillId="25" borderId="23" xfId="228" applyFont="1" applyFill="1" applyBorder="1" applyAlignment="1">
      <alignment horizontal="center" vertical="center" wrapText="1"/>
      <protection/>
    </xf>
    <xf numFmtId="0" fontId="36" fillId="8" borderId="24" xfId="228" applyFont="1" applyFill="1" applyBorder="1" applyAlignment="1">
      <alignment horizontal="center" vertical="center"/>
      <protection/>
    </xf>
    <xf numFmtId="0" fontId="36" fillId="8" borderId="25" xfId="228" applyFont="1" applyFill="1" applyBorder="1" applyAlignment="1">
      <alignment horizontal="center" vertical="center"/>
      <protection/>
    </xf>
    <xf numFmtId="4" fontId="36" fillId="8" borderId="20" xfId="228" applyNumberFormat="1" applyFont="1" applyFill="1" applyBorder="1" applyAlignment="1">
      <alignment horizontal="center" vertical="center" wrapText="1"/>
      <protection/>
    </xf>
    <xf numFmtId="0" fontId="36" fillId="8" borderId="20" xfId="228" applyFont="1" applyFill="1" applyBorder="1" applyAlignment="1">
      <alignment horizontal="center" vertical="center" wrapText="1"/>
      <protection/>
    </xf>
    <xf numFmtId="0" fontId="36" fillId="8" borderId="20" xfId="228" applyFont="1" applyFill="1" applyBorder="1" applyAlignment="1">
      <alignment horizontal="center" vertical="center"/>
      <protection/>
    </xf>
    <xf numFmtId="0" fontId="0" fillId="25" borderId="20" xfId="228" applyFont="1" applyFill="1" applyBorder="1" applyAlignment="1">
      <alignment vertical="center" wrapText="1"/>
      <protection/>
    </xf>
    <xf numFmtId="10" fontId="37" fillId="25" borderId="20" xfId="228" applyNumberFormat="1" applyFont="1" applyFill="1" applyBorder="1" applyAlignment="1">
      <alignment horizontal="right" vertical="top" wrapText="1"/>
      <protection/>
    </xf>
    <xf numFmtId="10" fontId="32" fillId="25" borderId="20" xfId="228" applyNumberFormat="1" applyFont="1" applyFill="1" applyBorder="1" applyAlignment="1">
      <alignment vertical="top" wrapText="1"/>
      <protection/>
    </xf>
    <xf numFmtId="10" fontId="32" fillId="0" borderId="20" xfId="228" applyNumberFormat="1" applyFont="1" applyFill="1" applyBorder="1" applyAlignment="1">
      <alignment vertical="top" wrapText="1"/>
      <protection/>
    </xf>
    <xf numFmtId="10" fontId="32" fillId="0" borderId="26" xfId="228" applyNumberFormat="1" applyFont="1" applyFill="1" applyBorder="1" applyAlignment="1">
      <alignment vertical="top" wrapText="1"/>
      <protection/>
    </xf>
    <xf numFmtId="4" fontId="33" fillId="0" borderId="20" xfId="238" applyNumberFormat="1" applyFont="1" applyBorder="1" applyAlignment="1" applyProtection="1">
      <alignment vertical="center" wrapText="1"/>
      <protection/>
    </xf>
    <xf numFmtId="4" fontId="33" fillId="25" borderId="20" xfId="228" applyNumberFormat="1" applyFont="1" applyFill="1" applyBorder="1" applyAlignment="1">
      <alignment vertical="top" wrapText="1"/>
      <protection/>
    </xf>
    <xf numFmtId="4" fontId="37" fillId="25" borderId="26" xfId="228" applyNumberFormat="1" applyFont="1" applyFill="1" applyBorder="1" applyAlignment="1">
      <alignment vertical="top" wrapText="1"/>
      <protection/>
    </xf>
    <xf numFmtId="10" fontId="37" fillId="25" borderId="20" xfId="248" applyNumberFormat="1" applyFont="1" applyFill="1" applyBorder="1" applyAlignment="1">
      <alignment horizontal="right" vertical="top" wrapText="1"/>
    </xf>
    <xf numFmtId="4" fontId="37" fillId="0" borderId="26" xfId="228" applyNumberFormat="1" applyFont="1" applyFill="1" applyBorder="1" applyAlignment="1">
      <alignment vertical="top" wrapText="1"/>
      <protection/>
    </xf>
    <xf numFmtId="9" fontId="34" fillId="25" borderId="20" xfId="248" applyFont="1" applyFill="1" applyBorder="1" applyAlignment="1">
      <alignment horizontal="center" vertical="top" wrapText="1"/>
    </xf>
    <xf numFmtId="4" fontId="34" fillId="25" borderId="20" xfId="228" applyNumberFormat="1" applyFont="1" applyFill="1" applyBorder="1" applyAlignment="1">
      <alignment horizontal="center" vertical="top" wrapText="1"/>
      <protection/>
    </xf>
    <xf numFmtId="4" fontId="32" fillId="25" borderId="20" xfId="228" applyNumberFormat="1" applyFont="1" applyFill="1" applyBorder="1" applyAlignment="1">
      <alignment vertical="top" wrapText="1"/>
      <protection/>
    </xf>
    <xf numFmtId="0" fontId="0" fillId="25" borderId="24" xfId="228" applyFill="1" applyBorder="1" applyAlignment="1">
      <alignment vertical="center"/>
      <protection/>
    </xf>
    <xf numFmtId="0" fontId="0" fillId="25" borderId="20" xfId="228" applyFill="1" applyBorder="1" applyAlignment="1">
      <alignment vertical="center"/>
      <protection/>
    </xf>
    <xf numFmtId="4" fontId="0" fillId="25" borderId="20" xfId="228" applyNumberFormat="1" applyFill="1" applyBorder="1" applyAlignment="1">
      <alignment vertical="center" wrapText="1"/>
      <protection/>
    </xf>
    <xf numFmtId="0" fontId="0" fillId="25" borderId="26" xfId="228" applyFill="1" applyBorder="1" applyAlignment="1">
      <alignment vertical="center"/>
      <protection/>
    </xf>
    <xf numFmtId="0" fontId="36" fillId="25" borderId="27" xfId="228" applyFont="1" applyFill="1" applyBorder="1" applyAlignment="1">
      <alignment wrapText="1"/>
      <protection/>
    </xf>
    <xf numFmtId="0" fontId="36" fillId="25" borderId="28" xfId="228" applyFont="1" applyFill="1" applyBorder="1" applyAlignment="1">
      <alignment wrapText="1"/>
      <protection/>
    </xf>
    <xf numFmtId="0" fontId="36" fillId="25" borderId="14" xfId="228" applyFont="1" applyFill="1" applyBorder="1" applyAlignment="1">
      <alignment/>
      <protection/>
    </xf>
    <xf numFmtId="0" fontId="36" fillId="25" borderId="22" xfId="228" applyFont="1" applyFill="1" applyBorder="1" applyAlignment="1">
      <alignment/>
      <protection/>
    </xf>
    <xf numFmtId="0" fontId="36" fillId="25" borderId="16" xfId="228" applyFont="1" applyFill="1" applyBorder="1" applyAlignment="1">
      <alignment/>
      <protection/>
    </xf>
    <xf numFmtId="0" fontId="32" fillId="0" borderId="29" xfId="0" applyFont="1" applyFill="1" applyBorder="1" applyAlignment="1" applyProtection="1">
      <alignment horizontal="left" vertical="center"/>
      <protection/>
    </xf>
    <xf numFmtId="0" fontId="32" fillId="4" borderId="30" xfId="0" applyFont="1" applyFill="1" applyBorder="1" applyAlignment="1" applyProtection="1">
      <alignment horizontal="left" vertical="center"/>
      <protection/>
    </xf>
    <xf numFmtId="0" fontId="32" fillId="4" borderId="31" xfId="0" applyFont="1" applyFill="1" applyBorder="1" applyAlignment="1" applyProtection="1">
      <alignment horizontal="left" vertical="center"/>
      <protection/>
    </xf>
    <xf numFmtId="0" fontId="33" fillId="0" borderId="32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33" xfId="0" applyFont="1" applyBorder="1" applyAlignment="1" applyProtection="1">
      <alignment vertical="center"/>
      <protection/>
    </xf>
    <xf numFmtId="0" fontId="33" fillId="4" borderId="34" xfId="0" applyFont="1" applyFill="1" applyBorder="1" applyAlignment="1" applyProtection="1">
      <alignment vertical="center"/>
      <protection locked="0"/>
    </xf>
    <xf numFmtId="0" fontId="32" fillId="4" borderId="35" xfId="0" applyFont="1" applyFill="1" applyBorder="1" applyAlignment="1" applyProtection="1">
      <alignment vertical="center"/>
      <protection locked="0"/>
    </xf>
    <xf numFmtId="0" fontId="32" fillId="4" borderId="36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/>
    </xf>
    <xf numFmtId="0" fontId="33" fillId="4" borderId="35" xfId="0" applyFont="1" applyFill="1" applyBorder="1" applyAlignment="1" applyProtection="1">
      <alignment vertical="center"/>
      <protection locked="0"/>
    </xf>
    <xf numFmtId="0" fontId="33" fillId="4" borderId="36" xfId="0" applyFont="1" applyFill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2" fillId="20" borderId="13" xfId="0" applyFont="1" applyFill="1" applyBorder="1" applyAlignment="1" applyProtection="1">
      <alignment vertical="center"/>
      <protection/>
    </xf>
    <xf numFmtId="0" fontId="33" fillId="20" borderId="34" xfId="0" applyFont="1" applyFill="1" applyBorder="1" applyAlignment="1" applyProtection="1">
      <alignment vertical="center"/>
      <protection/>
    </xf>
    <xf numFmtId="0" fontId="38" fillId="0" borderId="0" xfId="0" applyFont="1" applyAlignment="1">
      <alignment/>
    </xf>
    <xf numFmtId="0" fontId="33" fillId="4" borderId="37" xfId="0" applyFont="1" applyFill="1" applyBorder="1" applyAlignment="1" applyProtection="1">
      <alignment horizontal="left" vertical="center"/>
      <protection/>
    </xf>
    <xf numFmtId="10" fontId="33" fillId="4" borderId="37" xfId="0" applyNumberFormat="1" applyFont="1" applyFill="1" applyBorder="1" applyAlignment="1" applyProtection="1">
      <alignment vertical="center"/>
      <protection/>
    </xf>
    <xf numFmtId="0" fontId="33" fillId="4" borderId="38" xfId="0" applyFont="1" applyFill="1" applyBorder="1" applyAlignment="1" applyProtection="1">
      <alignment horizontal="center" vertical="center"/>
      <protection/>
    </xf>
    <xf numFmtId="10" fontId="33" fillId="22" borderId="39" xfId="248" applyNumberFormat="1" applyFont="1" applyFill="1" applyBorder="1" applyAlignment="1" applyProtection="1">
      <alignment vertical="center"/>
      <protection locked="0"/>
    </xf>
    <xf numFmtId="0" fontId="33" fillId="4" borderId="40" xfId="0" applyFont="1" applyFill="1" applyBorder="1" applyAlignment="1" applyProtection="1">
      <alignment horizontal="left" vertical="center"/>
      <protection/>
    </xf>
    <xf numFmtId="10" fontId="33" fillId="4" borderId="40" xfId="0" applyNumberFormat="1" applyFont="1" applyFill="1" applyBorder="1" applyAlignment="1" applyProtection="1">
      <alignment vertical="center"/>
      <protection/>
    </xf>
    <xf numFmtId="0" fontId="33" fillId="4" borderId="41" xfId="0" applyFont="1" applyFill="1" applyBorder="1" applyAlignment="1" applyProtection="1">
      <alignment horizontal="center" vertical="center"/>
      <protection/>
    </xf>
    <xf numFmtId="0" fontId="33" fillId="4" borderId="42" xfId="0" applyFont="1" applyFill="1" applyBorder="1" applyAlignment="1" applyProtection="1">
      <alignment horizontal="left" vertical="center"/>
      <protection/>
    </xf>
    <xf numFmtId="0" fontId="0" fillId="4" borderId="32" xfId="0" applyFill="1" applyBorder="1" applyAlignment="1">
      <alignment/>
    </xf>
    <xf numFmtId="10" fontId="33" fillId="4" borderId="29" xfId="0" applyNumberFormat="1" applyFont="1" applyFill="1" applyBorder="1" applyAlignment="1" applyProtection="1">
      <alignment vertical="center"/>
      <protection/>
    </xf>
    <xf numFmtId="10" fontId="33" fillId="4" borderId="30" xfId="0" applyNumberFormat="1" applyFont="1" applyFill="1" applyBorder="1" applyAlignment="1" applyProtection="1">
      <alignment vertical="center"/>
      <protection/>
    </xf>
    <xf numFmtId="0" fontId="33" fillId="4" borderId="20" xfId="0" applyFont="1" applyFill="1" applyBorder="1" applyAlignment="1" applyProtection="1">
      <alignment horizontal="left" vertical="center"/>
      <protection/>
    </xf>
    <xf numFmtId="10" fontId="0" fillId="4" borderId="20" xfId="248" applyNumberFormat="1" applyFont="1" applyFill="1" applyBorder="1" applyAlignment="1">
      <alignment/>
    </xf>
    <xf numFmtId="4" fontId="24" fillId="0" borderId="0" xfId="0" applyNumberFormat="1" applyFont="1" applyAlignment="1">
      <alignment horizontal="left" vertical="center"/>
    </xf>
    <xf numFmtId="0" fontId="6" fillId="24" borderId="24" xfId="0" applyNumberFormat="1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left" vertical="center" wrapText="1"/>
    </xf>
    <xf numFmtId="0" fontId="41" fillId="8" borderId="20" xfId="0" applyFont="1" applyFill="1" applyBorder="1" applyAlignment="1">
      <alignment horizontal="center" vertical="center" wrapText="1"/>
    </xf>
    <xf numFmtId="4" fontId="43" fillId="8" borderId="20" xfId="0" applyNumberFormat="1" applyFont="1" applyFill="1" applyBorder="1" applyAlignment="1" applyProtection="1">
      <alignment horizontal="left" vertical="center" wrapText="1"/>
      <protection/>
    </xf>
    <xf numFmtId="0" fontId="31" fillId="26" borderId="32" xfId="0" applyFont="1" applyFill="1" applyBorder="1" applyAlignment="1" applyProtection="1">
      <alignment vertical="center"/>
      <protection/>
    </xf>
    <xf numFmtId="0" fontId="31" fillId="26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2" fillId="4" borderId="34" xfId="0" applyFont="1" applyFill="1" applyBorder="1" applyAlignment="1" applyProtection="1">
      <alignment vertical="center"/>
      <protection locked="0"/>
    </xf>
    <xf numFmtId="4" fontId="43" fillId="8" borderId="20" xfId="0" applyNumberFormat="1" applyFont="1" applyFill="1" applyBorder="1" applyAlignment="1">
      <alignment horizontal="right" vertical="center" wrapText="1"/>
    </xf>
    <xf numFmtId="4" fontId="6" fillId="24" borderId="26" xfId="0" applyNumberFormat="1" applyFont="1" applyFill="1" applyBorder="1" applyAlignment="1">
      <alignment horizontal="right" vertical="center" wrapText="1"/>
    </xf>
    <xf numFmtId="0" fontId="43" fillId="8" borderId="20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left" vertical="center" wrapText="1"/>
    </xf>
    <xf numFmtId="4" fontId="43" fillId="8" borderId="26" xfId="0" applyNumberFormat="1" applyFont="1" applyFill="1" applyBorder="1" applyAlignment="1">
      <alignment horizontal="right" vertical="center" wrapText="1"/>
    </xf>
    <xf numFmtId="0" fontId="36" fillId="8" borderId="26" xfId="228" applyFont="1" applyFill="1" applyBorder="1" applyAlignment="1">
      <alignment horizontal="center" vertical="center"/>
      <protection/>
    </xf>
    <xf numFmtId="10" fontId="32" fillId="25" borderId="26" xfId="228" applyNumberFormat="1" applyFont="1" applyFill="1" applyBorder="1" applyAlignment="1">
      <alignment vertical="top" wrapText="1"/>
      <protection/>
    </xf>
    <xf numFmtId="4" fontId="32" fillId="25" borderId="26" xfId="228" applyNumberFormat="1" applyFont="1" applyFill="1" applyBorder="1" applyAlignment="1">
      <alignment vertical="top" wrapText="1"/>
      <protection/>
    </xf>
    <xf numFmtId="0" fontId="23" fillId="0" borderId="0" xfId="0" applyFont="1" applyAlignment="1" applyProtection="1">
      <alignment/>
      <protection/>
    </xf>
    <xf numFmtId="0" fontId="48" fillId="0" borderId="43" xfId="0" applyFont="1" applyBorder="1" applyAlignment="1" applyProtection="1">
      <alignment wrapText="1"/>
      <protection/>
    </xf>
    <xf numFmtId="0" fontId="48" fillId="0" borderId="44" xfId="0" applyFont="1" applyBorder="1" applyAlignment="1" applyProtection="1">
      <alignment wrapText="1"/>
      <protection/>
    </xf>
    <xf numFmtId="0" fontId="47" fillId="4" borderId="43" xfId="0" applyFont="1" applyFill="1" applyBorder="1" applyAlignment="1" applyProtection="1">
      <alignment wrapText="1"/>
      <protection/>
    </xf>
    <xf numFmtId="0" fontId="47" fillId="4" borderId="44" xfId="0" applyFont="1" applyFill="1" applyBorder="1" applyAlignment="1" applyProtection="1">
      <alignment wrapText="1"/>
      <protection/>
    </xf>
    <xf numFmtId="0" fontId="50" fillId="0" borderId="43" xfId="0" applyFont="1" applyBorder="1" applyAlignment="1" applyProtection="1">
      <alignment horizontal="left" vertical="center"/>
      <protection/>
    </xf>
    <xf numFmtId="0" fontId="50" fillId="0" borderId="44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/>
      <protection/>
    </xf>
    <xf numFmtId="0" fontId="50" fillId="0" borderId="45" xfId="0" applyFont="1" applyBorder="1" applyAlignment="1" applyProtection="1">
      <alignment horizontal="left" vertical="center" wrapText="1"/>
      <protection/>
    </xf>
    <xf numFmtId="0" fontId="50" fillId="0" borderId="44" xfId="0" applyFont="1" applyBorder="1" applyAlignment="1" applyProtection="1">
      <alignment horizontal="left" vertical="center" wrapText="1"/>
      <protection/>
    </xf>
    <xf numFmtId="0" fontId="50" fillId="0" borderId="46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47" fillId="10" borderId="43" xfId="0" applyFont="1" applyFill="1" applyBorder="1" applyAlignment="1" applyProtection="1">
      <alignment horizontal="left"/>
      <protection/>
    </xf>
    <xf numFmtId="0" fontId="47" fillId="10" borderId="47" xfId="0" applyFont="1" applyFill="1" applyBorder="1" applyAlignment="1" applyProtection="1">
      <alignment horizontal="left"/>
      <protection/>
    </xf>
    <xf numFmtId="0" fontId="48" fillId="0" borderId="48" xfId="0" applyFont="1" applyBorder="1" applyAlignment="1" applyProtection="1">
      <alignment horizontal="right" wrapText="1"/>
      <protection/>
    </xf>
    <xf numFmtId="0" fontId="48" fillId="0" borderId="49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wrapText="1"/>
      <protection/>
    </xf>
    <xf numFmtId="181" fontId="23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 applyProtection="1">
      <alignment/>
      <protection/>
    </xf>
    <xf numFmtId="8" fontId="23" fillId="0" borderId="0" xfId="0" applyNumberFormat="1" applyFont="1" applyAlignment="1" applyProtection="1">
      <alignment/>
      <protection/>
    </xf>
    <xf numFmtId="0" fontId="43" fillId="0" borderId="24" xfId="0" applyNumberFormat="1" applyFont="1" applyFill="1" applyBorder="1" applyAlignment="1">
      <alignment horizontal="center" vertical="center" wrapText="1"/>
    </xf>
    <xf numFmtId="49" fontId="43" fillId="0" borderId="20" xfId="238" applyNumberFormat="1" applyFont="1" applyFill="1" applyBorder="1" applyAlignment="1" applyProtection="1">
      <alignment horizontal="center" vertical="center" wrapText="1"/>
      <protection locked="0"/>
    </xf>
    <xf numFmtId="0" fontId="43" fillId="0" borderId="2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/>
    </xf>
    <xf numFmtId="171" fontId="43" fillId="0" borderId="20" xfId="271" applyFont="1" applyFill="1" applyBorder="1" applyAlignment="1">
      <alignment horizontal="center" vertical="center"/>
    </xf>
    <xf numFmtId="4" fontId="43" fillId="0" borderId="20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 quotePrefix="1">
      <alignment vertical="center" wrapText="1"/>
    </xf>
    <xf numFmtId="49" fontId="43" fillId="0" borderId="50" xfId="0" applyNumberFormat="1" applyFont="1" applyFill="1" applyBorder="1" applyAlignment="1" applyProtection="1">
      <alignment horizontal="center" vertical="center" wrapText="1"/>
      <protection/>
    </xf>
    <xf numFmtId="4" fontId="43" fillId="0" borderId="20" xfId="273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justify" vertical="center" wrapText="1"/>
    </xf>
    <xf numFmtId="49" fontId="43" fillId="0" borderId="20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0" applyNumberFormat="1" applyFont="1" applyFill="1" applyBorder="1" applyAlignment="1">
      <alignment horizontal="left" vertical="center" wrapText="1"/>
    </xf>
    <xf numFmtId="0" fontId="42" fillId="0" borderId="20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 applyProtection="1">
      <alignment vertical="center" wrapText="1"/>
      <protection/>
    </xf>
    <xf numFmtId="0" fontId="43" fillId="0" borderId="20" xfId="227" applyFont="1" applyFill="1" applyBorder="1" applyAlignment="1">
      <alignment horizontal="left" vertical="center" wrapText="1"/>
      <protection/>
    </xf>
    <xf numFmtId="171" fontId="43" fillId="0" borderId="20" xfId="263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center" vertical="center" wrapText="1"/>
    </xf>
    <xf numFmtId="4" fontId="43" fillId="0" borderId="20" xfId="0" applyNumberFormat="1" applyFont="1" applyFill="1" applyBorder="1" applyAlignment="1" applyProtection="1">
      <alignment horizontal="right" vertical="center" wrapText="1"/>
      <protection/>
    </xf>
    <xf numFmtId="4" fontId="43" fillId="0" borderId="20" xfId="0" applyNumberFormat="1" applyFont="1" applyFill="1" applyBorder="1" applyAlignment="1" applyProtection="1">
      <alignment vertical="center" wrapText="1"/>
      <protection/>
    </xf>
    <xf numFmtId="171" fontId="43" fillId="0" borderId="20" xfId="263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left" vertical="center" wrapText="1"/>
    </xf>
    <xf numFmtId="171" fontId="43" fillId="0" borderId="51" xfId="263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0" xfId="227" applyFont="1" applyFill="1" applyBorder="1" applyAlignment="1">
      <alignment horizontal="center" vertical="center" wrapText="1"/>
      <protection/>
    </xf>
    <xf numFmtId="4" fontId="43" fillId="0" borderId="20" xfId="0" applyNumberFormat="1" applyFont="1" applyFill="1" applyBorder="1" applyAlignment="1" applyProtection="1" quotePrefix="1">
      <alignment horizontal="right" vertical="center" wrapText="1"/>
      <protection/>
    </xf>
    <xf numFmtId="0" fontId="24" fillId="0" borderId="52" xfId="0" applyFont="1" applyBorder="1" applyAlignment="1">
      <alignment/>
    </xf>
    <xf numFmtId="0" fontId="26" fillId="27" borderId="24" xfId="0" applyFont="1" applyFill="1" applyBorder="1" applyAlignment="1">
      <alignment horizontal="center" vertical="center"/>
    </xf>
    <xf numFmtId="0" fontId="26" fillId="27" borderId="20" xfId="0" applyFont="1" applyFill="1" applyBorder="1" applyAlignment="1">
      <alignment horizontal="center" vertical="center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/>
    </xf>
    <xf numFmtId="4" fontId="43" fillId="0" borderId="20" xfId="0" applyNumberFormat="1" applyFont="1" applyBorder="1" applyAlignment="1">
      <alignment horizontal="right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4" fontId="43" fillId="0" borderId="26" xfId="0" applyNumberFormat="1" applyFont="1" applyBorder="1" applyAlignment="1">
      <alignment horizontal="right" vertical="center" wrapText="1"/>
    </xf>
    <xf numFmtId="171" fontId="6" fillId="24" borderId="20" xfId="271" applyFont="1" applyFill="1" applyBorder="1" applyAlignment="1">
      <alignment horizontal="left" vertical="center" wrapText="1"/>
    </xf>
    <xf numFmtId="4" fontId="2" fillId="24" borderId="20" xfId="0" applyNumberFormat="1" applyFont="1" applyFill="1" applyBorder="1" applyAlignment="1">
      <alignment horizontal="right" vertical="center" wrapText="1"/>
    </xf>
    <xf numFmtId="0" fontId="42" fillId="25" borderId="20" xfId="0" applyNumberFormat="1" applyFont="1" applyFill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4" fontId="43" fillId="0" borderId="20" xfId="273" applyNumberFormat="1" applyFont="1" applyFill="1" applyBorder="1" applyAlignment="1">
      <alignment horizontal="right" vertical="center" wrapText="1"/>
    </xf>
    <xf numFmtId="0" fontId="6" fillId="24" borderId="20" xfId="0" applyFont="1" applyFill="1" applyBorder="1" applyAlignment="1">
      <alignment horizontal="center" vertical="center" wrapText="1"/>
    </xf>
    <xf numFmtId="4" fontId="6" fillId="24" borderId="20" xfId="0" applyNumberFormat="1" applyFont="1" applyFill="1" applyBorder="1" applyAlignment="1" applyProtection="1">
      <alignment horizontal="left" vertical="center" wrapText="1"/>
      <protection/>
    </xf>
    <xf numFmtId="4" fontId="6" fillId="24" borderId="20" xfId="0" applyNumberFormat="1" applyFont="1" applyFill="1" applyBorder="1" applyAlignment="1">
      <alignment horizontal="right" vertical="center" wrapText="1"/>
    </xf>
    <xf numFmtId="0" fontId="27" fillId="8" borderId="24" xfId="0" applyNumberFormat="1" applyFont="1" applyFill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  <xf numFmtId="4" fontId="27" fillId="8" borderId="20" xfId="0" applyNumberFormat="1" applyFont="1" applyFill="1" applyBorder="1" applyAlignment="1">
      <alignment horizontal="right" vertical="center" wrapText="1"/>
    </xf>
    <xf numFmtId="4" fontId="27" fillId="8" borderId="26" xfId="0" applyNumberFormat="1" applyFont="1" applyFill="1" applyBorder="1" applyAlignment="1">
      <alignment horizontal="right" vertical="center" wrapText="1"/>
    </xf>
    <xf numFmtId="0" fontId="43" fillId="0" borderId="20" xfId="0" applyFont="1" applyBorder="1" applyAlignment="1">
      <alignment horizontal="center" vertical="center" wrapText="1"/>
    </xf>
    <xf numFmtId="0" fontId="2" fillId="24" borderId="24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 applyProtection="1">
      <alignment horizontal="right" vertical="center" wrapText="1"/>
      <protection/>
    </xf>
    <xf numFmtId="0" fontId="22" fillId="8" borderId="20" xfId="0" applyFont="1" applyFill="1" applyBorder="1" applyAlignment="1">
      <alignment horizontal="left" vertical="center" wrapText="1"/>
    </xf>
    <xf numFmtId="4" fontId="27" fillId="8" borderId="20" xfId="0" applyNumberFormat="1" applyFont="1" applyFill="1" applyBorder="1" applyAlignment="1" applyProtection="1">
      <alignment horizontal="right" vertical="center" wrapText="1"/>
      <protection/>
    </xf>
    <xf numFmtId="0" fontId="42" fillId="0" borderId="31" xfId="0" applyFont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2" fillId="0" borderId="21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27" fillId="0" borderId="20" xfId="0" applyNumberFormat="1" applyFont="1" applyFill="1" applyBorder="1" applyAlignment="1" applyProtection="1">
      <alignment horizontal="right" vertical="center" wrapText="1"/>
      <protection/>
    </xf>
    <xf numFmtId="4" fontId="27" fillId="0" borderId="20" xfId="0" applyNumberFormat="1" applyFont="1" applyFill="1" applyBorder="1" applyAlignment="1">
      <alignment horizontal="right" vertical="center" wrapText="1"/>
    </xf>
    <xf numFmtId="4" fontId="27" fillId="0" borderId="20" xfId="0" applyNumberFormat="1" applyFont="1" applyBorder="1" applyAlignment="1">
      <alignment horizontal="right" vertical="center" wrapText="1"/>
    </xf>
    <xf numFmtId="4" fontId="27" fillId="0" borderId="26" xfId="0" applyNumberFormat="1" applyFont="1" applyBorder="1" applyAlignment="1">
      <alignment horizontal="right" vertical="center" wrapText="1"/>
    </xf>
    <xf numFmtId="49" fontId="43" fillId="0" borderId="32" xfId="0" applyNumberFormat="1" applyFont="1" applyFill="1" applyBorder="1" applyAlignment="1" applyProtection="1">
      <alignment vertical="center" wrapText="1"/>
      <protection/>
    </xf>
    <xf numFmtId="0" fontId="43" fillId="0" borderId="31" xfId="0" applyFont="1" applyFill="1" applyBorder="1" applyAlignment="1">
      <alignment vertical="center" wrapText="1"/>
    </xf>
    <xf numFmtId="4" fontId="27" fillId="0" borderId="26" xfId="0" applyNumberFormat="1" applyFont="1" applyFill="1" applyBorder="1" applyAlignment="1">
      <alignment horizontal="right" vertical="center" wrapText="1"/>
    </xf>
    <xf numFmtId="4" fontId="6" fillId="24" borderId="20" xfId="0" applyNumberFormat="1" applyFont="1" applyFill="1" applyBorder="1" applyAlignment="1" applyProtection="1">
      <alignment horizontal="right" vertical="center" wrapText="1"/>
      <protection/>
    </xf>
    <xf numFmtId="4" fontId="6" fillId="24" borderId="20" xfId="0" applyNumberFormat="1" applyFont="1" applyFill="1" applyBorder="1" applyAlignment="1" applyProtection="1">
      <alignment vertical="center" wrapText="1"/>
      <protection/>
    </xf>
    <xf numFmtId="0" fontId="52" fillId="8" borderId="24" xfId="0" applyNumberFormat="1" applyFont="1" applyFill="1" applyBorder="1" applyAlignment="1">
      <alignment horizontal="center" vertical="center" wrapText="1"/>
    </xf>
    <xf numFmtId="0" fontId="52" fillId="8" borderId="20" xfId="0" applyNumberFormat="1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4" fontId="52" fillId="8" borderId="20" xfId="0" applyNumberFormat="1" applyFont="1" applyFill="1" applyBorder="1" applyAlignment="1" applyProtection="1">
      <alignment vertical="center" wrapText="1"/>
      <protection/>
    </xf>
    <xf numFmtId="4" fontId="52" fillId="8" borderId="20" xfId="0" applyNumberFormat="1" applyFont="1" applyFill="1" applyBorder="1" applyAlignment="1">
      <alignment horizontal="right" vertical="center" wrapText="1"/>
    </xf>
    <xf numFmtId="4" fontId="52" fillId="8" borderId="26" xfId="0" applyNumberFormat="1" applyFont="1" applyFill="1" applyBorder="1" applyAlignment="1">
      <alignment horizontal="right" vertical="center" wrapText="1"/>
    </xf>
    <xf numFmtId="0" fontId="43" fillId="0" borderId="20" xfId="263" applyNumberFormat="1" applyFont="1" applyFill="1" applyBorder="1" applyAlignment="1">
      <alignment vertical="center" wrapText="1"/>
    </xf>
    <xf numFmtId="0" fontId="43" fillId="0" borderId="20" xfId="263" applyNumberFormat="1" applyFont="1" applyFill="1" applyBorder="1" applyAlignment="1">
      <alignment horizontal="center" vertical="center"/>
    </xf>
    <xf numFmtId="4" fontId="43" fillId="0" borderId="20" xfId="273" applyNumberFormat="1" applyFont="1" applyFill="1" applyBorder="1" applyAlignment="1">
      <alignment vertical="center"/>
    </xf>
    <xf numFmtId="0" fontId="52" fillId="8" borderId="20" xfId="0" applyFont="1" applyFill="1" applyBorder="1" applyAlignment="1">
      <alignment horizontal="left" vertical="center" wrapText="1"/>
    </xf>
    <xf numFmtId="0" fontId="52" fillId="8" borderId="20" xfId="0" applyFont="1" applyFill="1" applyBorder="1" applyAlignment="1">
      <alignment horizontal="center" vertical="center" wrapText="1"/>
    </xf>
    <xf numFmtId="0" fontId="43" fillId="0" borderId="31" xfId="263" applyNumberFormat="1" applyFont="1" applyFill="1" applyBorder="1" applyAlignment="1">
      <alignment vertical="center" wrapText="1"/>
    </xf>
    <xf numFmtId="0" fontId="43" fillId="0" borderId="51" xfId="0" applyFont="1" applyBorder="1" applyAlignment="1">
      <alignment horizontal="center" vertical="center"/>
    </xf>
    <xf numFmtId="0" fontId="43" fillId="25" borderId="20" xfId="227" applyFont="1" applyFill="1" applyBorder="1" applyAlignment="1">
      <alignment horizontal="center" vertical="center" wrapText="1"/>
      <protection/>
    </xf>
    <xf numFmtId="4" fontId="40" fillId="22" borderId="26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" fontId="28" fillId="0" borderId="22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30" fillId="0" borderId="0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left" vertical="center"/>
    </xf>
    <xf numFmtId="0" fontId="22" fillId="22" borderId="20" xfId="0" applyFont="1" applyFill="1" applyBorder="1" applyAlignment="1">
      <alignment horizontal="right" vertical="center" wrapText="1"/>
    </xf>
    <xf numFmtId="0" fontId="26" fillId="0" borderId="57" xfId="0" applyFont="1" applyFill="1" applyBorder="1" applyAlignment="1">
      <alignment horizontal="left" vertical="center"/>
    </xf>
    <xf numFmtId="0" fontId="26" fillId="0" borderId="58" xfId="0" applyFont="1" applyFill="1" applyBorder="1" applyAlignment="1">
      <alignment horizontal="left" vertical="center"/>
    </xf>
    <xf numFmtId="0" fontId="26" fillId="0" borderId="55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44" fillId="27" borderId="29" xfId="0" applyFont="1" applyFill="1" applyBorder="1" applyAlignment="1">
      <alignment horizontal="left" vertical="center"/>
    </xf>
    <xf numFmtId="0" fontId="44" fillId="27" borderId="30" xfId="0" applyFont="1" applyFill="1" applyBorder="1" applyAlignment="1">
      <alignment horizontal="left" vertical="center"/>
    </xf>
    <xf numFmtId="0" fontId="44" fillId="27" borderId="31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6" fillId="0" borderId="53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left" vertical="center" wrapText="1"/>
    </xf>
    <xf numFmtId="0" fontId="24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25" fillId="28" borderId="52" xfId="0" applyFont="1" applyFill="1" applyBorder="1" applyAlignment="1">
      <alignment horizontal="center" vertical="center"/>
    </xf>
    <xf numFmtId="0" fontId="25" fillId="28" borderId="59" xfId="0" applyFont="1" applyFill="1" applyBorder="1" applyAlignment="1">
      <alignment horizontal="center" vertical="center"/>
    </xf>
    <xf numFmtId="0" fontId="25" fillId="28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center"/>
    </xf>
    <xf numFmtId="0" fontId="26" fillId="0" borderId="62" xfId="0" applyFont="1" applyFill="1" applyBorder="1" applyAlignment="1">
      <alignment horizontal="left" vertical="center"/>
    </xf>
    <xf numFmtId="0" fontId="26" fillId="0" borderId="63" xfId="0" applyFont="1" applyFill="1" applyBorder="1" applyAlignment="1">
      <alignment horizontal="left" vertical="center"/>
    </xf>
    <xf numFmtId="14" fontId="26" fillId="0" borderId="20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64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0" fillId="25" borderId="24" xfId="228" applyNumberFormat="1" applyFill="1" applyBorder="1" applyAlignment="1">
      <alignment horizontal="center" vertical="center" wrapText="1"/>
      <protection/>
    </xf>
    <xf numFmtId="0" fontId="0" fillId="25" borderId="24" xfId="228" applyFill="1" applyBorder="1" applyAlignment="1">
      <alignment horizontal="center" vertical="center" wrapText="1"/>
      <protection/>
    </xf>
    <xf numFmtId="0" fontId="0" fillId="25" borderId="20" xfId="228" applyFont="1" applyFill="1" applyBorder="1" applyAlignment="1">
      <alignment vertical="center" wrapText="1"/>
      <protection/>
    </xf>
    <xf numFmtId="0" fontId="0" fillId="25" borderId="20" xfId="228" applyFill="1" applyBorder="1" applyAlignment="1">
      <alignment vertical="center" wrapText="1"/>
      <protection/>
    </xf>
    <xf numFmtId="0" fontId="35" fillId="28" borderId="64" xfId="228" applyFont="1" applyFill="1" applyBorder="1" applyAlignment="1">
      <alignment horizontal="center" vertical="center"/>
      <protection/>
    </xf>
    <xf numFmtId="0" fontId="35" fillId="28" borderId="65" xfId="228" applyFont="1" applyFill="1" applyBorder="1" applyAlignment="1">
      <alignment horizontal="center" vertical="center"/>
      <protection/>
    </xf>
    <xf numFmtId="0" fontId="35" fillId="28" borderId="67" xfId="228" applyFont="1" applyFill="1" applyBorder="1" applyAlignment="1">
      <alignment horizontal="center" vertical="center"/>
      <protection/>
    </xf>
    <xf numFmtId="0" fontId="36" fillId="25" borderId="27" xfId="228" applyFont="1" applyFill="1" applyBorder="1" applyAlignment="1">
      <alignment horizontal="center" vertical="center"/>
      <protection/>
    </xf>
    <xf numFmtId="0" fontId="1" fillId="0" borderId="28" xfId="237" applyBorder="1">
      <alignment/>
      <protection/>
    </xf>
    <xf numFmtId="0" fontId="36" fillId="25" borderId="68" xfId="228" applyFont="1" applyFill="1" applyBorder="1" applyAlignment="1">
      <alignment horizontal="center" vertical="center"/>
      <protection/>
    </xf>
    <xf numFmtId="0" fontId="1" fillId="0" borderId="35" xfId="237" applyBorder="1">
      <alignment/>
      <protection/>
    </xf>
    <xf numFmtId="49" fontId="0" fillId="25" borderId="24" xfId="228" applyNumberFormat="1" applyFont="1" applyFill="1" applyBorder="1" applyAlignment="1">
      <alignment horizontal="center" vertical="center" wrapText="1"/>
      <protection/>
    </xf>
    <xf numFmtId="0" fontId="0" fillId="25" borderId="51" xfId="228" applyNumberFormat="1" applyFont="1" applyFill="1" applyBorder="1" applyAlignment="1">
      <alignment vertical="center" wrapText="1"/>
      <protection/>
    </xf>
    <xf numFmtId="0" fontId="0" fillId="25" borderId="25" xfId="228" applyNumberFormat="1" applyFont="1" applyFill="1" applyBorder="1" applyAlignment="1">
      <alignment vertical="center" wrapText="1"/>
      <protection/>
    </xf>
    <xf numFmtId="0" fontId="36" fillId="25" borderId="21" xfId="228" applyFont="1" applyFill="1" applyBorder="1" applyAlignment="1">
      <alignment horizontal="center" wrapText="1"/>
      <protection/>
    </xf>
    <xf numFmtId="0" fontId="36" fillId="25" borderId="0" xfId="228" applyFont="1" applyFill="1" applyBorder="1" applyAlignment="1">
      <alignment horizontal="center" wrapText="1"/>
      <protection/>
    </xf>
    <xf numFmtId="0" fontId="0" fillId="25" borderId="53" xfId="228" applyFont="1" applyFill="1" applyBorder="1" applyAlignment="1">
      <alignment horizontal="center" wrapText="1"/>
      <protection/>
    </xf>
    <xf numFmtId="0" fontId="0" fillId="25" borderId="54" xfId="228" applyFont="1" applyFill="1" applyBorder="1" applyAlignment="1">
      <alignment horizontal="center" wrapText="1"/>
      <protection/>
    </xf>
    <xf numFmtId="0" fontId="36" fillId="25" borderId="24" xfId="228" applyFont="1" applyFill="1" applyBorder="1" applyAlignment="1">
      <alignment horizontal="center" vertical="center" wrapText="1"/>
      <protection/>
    </xf>
    <xf numFmtId="0" fontId="36" fillId="25" borderId="20" xfId="228" applyFont="1" applyFill="1" applyBorder="1" applyAlignment="1">
      <alignment horizontal="center" vertical="center" wrapText="1"/>
      <protection/>
    </xf>
    <xf numFmtId="0" fontId="0" fillId="25" borderId="20" xfId="228" applyNumberFormat="1" applyFont="1" applyFill="1" applyBorder="1" applyAlignment="1">
      <alignment vertical="center" wrapText="1"/>
      <protection/>
    </xf>
    <xf numFmtId="0" fontId="0" fillId="25" borderId="20" xfId="228" applyNumberFormat="1" applyFill="1" applyBorder="1" applyAlignment="1">
      <alignment vertical="center" wrapText="1"/>
      <protection/>
    </xf>
    <xf numFmtId="0" fontId="39" fillId="0" borderId="0" xfId="0" applyFont="1" applyAlignment="1">
      <alignment horizontal="center"/>
    </xf>
    <xf numFmtId="0" fontId="0" fillId="22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10" fontId="33" fillId="20" borderId="29" xfId="0" applyNumberFormat="1" applyFont="1" applyFill="1" applyBorder="1" applyAlignment="1" applyProtection="1">
      <alignment horizontal="center" vertical="center"/>
      <protection/>
    </xf>
    <xf numFmtId="10" fontId="33" fillId="20" borderId="30" xfId="0" applyNumberFormat="1" applyFont="1" applyFill="1" applyBorder="1" applyAlignment="1" applyProtection="1">
      <alignment horizontal="center" vertical="center"/>
      <protection/>
    </xf>
    <xf numFmtId="10" fontId="33" fillId="20" borderId="31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2" fillId="20" borderId="13" xfId="0" applyFont="1" applyFill="1" applyBorder="1" applyAlignment="1" applyProtection="1">
      <alignment horizontal="center" vertical="center"/>
      <protection/>
    </xf>
    <xf numFmtId="0" fontId="32" fillId="20" borderId="57" xfId="0" applyFont="1" applyFill="1" applyBorder="1" applyAlignment="1" applyProtection="1">
      <alignment horizontal="center" vertical="center"/>
      <protection/>
    </xf>
    <xf numFmtId="0" fontId="32" fillId="20" borderId="34" xfId="0" applyFont="1" applyFill="1" applyBorder="1" applyAlignment="1" applyProtection="1">
      <alignment horizontal="center" vertical="center"/>
      <protection/>
    </xf>
    <xf numFmtId="0" fontId="32" fillId="2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0" fontId="33" fillId="4" borderId="41" xfId="0" applyNumberFormat="1" applyFont="1" applyFill="1" applyBorder="1" applyAlignment="1" applyProtection="1">
      <alignment horizontal="center" vertical="center"/>
      <protection/>
    </xf>
    <xf numFmtId="10" fontId="33" fillId="4" borderId="72" xfId="0" applyNumberFormat="1" applyFont="1" applyFill="1" applyBorder="1" applyAlignment="1" applyProtection="1">
      <alignment horizontal="center" vertical="center"/>
      <protection/>
    </xf>
    <xf numFmtId="10" fontId="33" fillId="4" borderId="30" xfId="0" applyNumberFormat="1" applyFont="1" applyFill="1" applyBorder="1" applyAlignment="1" applyProtection="1">
      <alignment horizontal="center" vertical="center"/>
      <protection/>
    </xf>
    <xf numFmtId="10" fontId="33" fillId="4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20" borderId="13" xfId="0" applyFont="1" applyFill="1" applyBorder="1" applyAlignment="1" applyProtection="1">
      <alignment horizontal="center" vertical="center" wrapText="1"/>
      <protection/>
    </xf>
    <xf numFmtId="0" fontId="32" fillId="20" borderId="28" xfId="0" applyFont="1" applyFill="1" applyBorder="1" applyAlignment="1" applyProtection="1">
      <alignment horizontal="center" vertical="center" wrapText="1"/>
      <protection/>
    </xf>
    <xf numFmtId="0" fontId="32" fillId="20" borderId="57" xfId="0" applyFont="1" applyFill="1" applyBorder="1" applyAlignment="1" applyProtection="1">
      <alignment horizontal="center" vertical="center" wrapText="1"/>
      <protection/>
    </xf>
    <xf numFmtId="0" fontId="32" fillId="20" borderId="34" xfId="0" applyFont="1" applyFill="1" applyBorder="1" applyAlignment="1" applyProtection="1">
      <alignment horizontal="center" vertical="center" wrapText="1"/>
      <protection/>
    </xf>
    <xf numFmtId="0" fontId="32" fillId="20" borderId="35" xfId="0" applyFont="1" applyFill="1" applyBorder="1" applyAlignment="1" applyProtection="1">
      <alignment horizontal="center" vertical="center" wrapText="1"/>
      <protection/>
    </xf>
    <xf numFmtId="0" fontId="32" fillId="20" borderId="36" xfId="0" applyFont="1" applyFill="1" applyBorder="1" applyAlignment="1" applyProtection="1">
      <alignment horizontal="center" vertical="center" wrapText="1"/>
      <protection/>
    </xf>
    <xf numFmtId="10" fontId="33" fillId="4" borderId="38" xfId="0" applyNumberFormat="1" applyFont="1" applyFill="1" applyBorder="1" applyAlignment="1" applyProtection="1">
      <alignment horizontal="center" vertical="center"/>
      <protection/>
    </xf>
    <xf numFmtId="10" fontId="33" fillId="4" borderId="70" xfId="0" applyNumberFormat="1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>
      <alignment horizontal="center"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4" borderId="46" xfId="0" applyFont="1" applyFill="1" applyBorder="1" applyAlignment="1" applyProtection="1">
      <alignment horizontal="center"/>
      <protection/>
    </xf>
    <xf numFmtId="0" fontId="47" fillId="4" borderId="76" xfId="0" applyFont="1" applyFill="1" applyBorder="1" applyAlignment="1" applyProtection="1">
      <alignment horizontal="center"/>
      <protection/>
    </xf>
    <xf numFmtId="0" fontId="47" fillId="4" borderId="77" xfId="0" applyFont="1" applyFill="1" applyBorder="1" applyAlignment="1" applyProtection="1">
      <alignment horizontal="center"/>
      <protection/>
    </xf>
    <xf numFmtId="0" fontId="46" fillId="0" borderId="52" xfId="0" applyFont="1" applyBorder="1" applyAlignment="1" applyProtection="1">
      <alignment horizontal="center" wrapText="1"/>
      <protection/>
    </xf>
    <xf numFmtId="0" fontId="46" fillId="0" borderId="59" xfId="0" applyFont="1" applyBorder="1" applyAlignment="1" applyProtection="1">
      <alignment horizontal="center" wrapText="1"/>
      <protection/>
    </xf>
    <xf numFmtId="0" fontId="46" fillId="0" borderId="60" xfId="0" applyFont="1" applyBorder="1" applyAlignment="1" applyProtection="1">
      <alignment horizontal="center" wrapText="1"/>
      <protection/>
    </xf>
    <xf numFmtId="0" fontId="40" fillId="29" borderId="21" xfId="0" applyFont="1" applyFill="1" applyBorder="1" applyAlignment="1">
      <alignment horizontal="left"/>
    </xf>
    <xf numFmtId="0" fontId="40" fillId="29" borderId="0" xfId="0" applyFont="1" applyFill="1" applyBorder="1" applyAlignment="1">
      <alignment horizontal="left"/>
    </xf>
    <xf numFmtId="0" fontId="40" fillId="29" borderId="22" xfId="0" applyFont="1" applyFill="1" applyBorder="1" applyAlignment="1">
      <alignment horizontal="left"/>
    </xf>
    <xf numFmtId="0" fontId="40" fillId="4" borderId="21" xfId="0" applyFont="1" applyFill="1" applyBorder="1" applyAlignment="1">
      <alignment horizontal="left"/>
    </xf>
    <xf numFmtId="0" fontId="40" fillId="4" borderId="0" xfId="0" applyFont="1" applyFill="1" applyBorder="1" applyAlignment="1">
      <alignment horizontal="left"/>
    </xf>
    <xf numFmtId="0" fontId="40" fillId="4" borderId="22" xfId="0" applyFont="1" applyFill="1" applyBorder="1" applyAlignment="1">
      <alignment horizontal="left"/>
    </xf>
    <xf numFmtId="0" fontId="47" fillId="11" borderId="21" xfId="0" applyFont="1" applyFill="1" applyBorder="1" applyAlignment="1">
      <alignment horizontal="left"/>
    </xf>
    <xf numFmtId="0" fontId="47" fillId="11" borderId="0" xfId="0" applyFont="1" applyFill="1" applyBorder="1" applyAlignment="1">
      <alignment horizontal="left"/>
    </xf>
    <xf numFmtId="0" fontId="47" fillId="11" borderId="22" xfId="0" applyFont="1" applyFill="1" applyBorder="1" applyAlignment="1">
      <alignment horizontal="left"/>
    </xf>
    <xf numFmtId="181" fontId="47" fillId="10" borderId="78" xfId="0" applyNumberFormat="1" applyFont="1" applyFill="1" applyBorder="1" applyAlignment="1" applyProtection="1">
      <alignment horizontal="right"/>
      <protection/>
    </xf>
    <xf numFmtId="0" fontId="49" fillId="0" borderId="79" xfId="0" applyFont="1" applyBorder="1" applyAlignment="1">
      <alignment horizontal="right"/>
    </xf>
    <xf numFmtId="4" fontId="47" fillId="2" borderId="80" xfId="0" applyNumberFormat="1" applyFont="1" applyFill="1" applyBorder="1" applyAlignment="1" applyProtection="1">
      <alignment horizontal="right"/>
      <protection/>
    </xf>
    <xf numFmtId="4" fontId="51" fillId="0" borderId="81" xfId="0" applyNumberFormat="1" applyFont="1" applyBorder="1" applyAlignment="1">
      <alignment horizontal="right"/>
    </xf>
    <xf numFmtId="10" fontId="48" fillId="0" borderId="78" xfId="0" applyNumberFormat="1" applyFont="1" applyBorder="1" applyAlignment="1" applyProtection="1">
      <alignment horizontal="right"/>
      <protection/>
    </xf>
    <xf numFmtId="0" fontId="47" fillId="8" borderId="78" xfId="0" applyFont="1" applyFill="1" applyBorder="1" applyAlignment="1" applyProtection="1">
      <alignment horizontal="center" vertical="center"/>
      <protection/>
    </xf>
    <xf numFmtId="0" fontId="47" fillId="8" borderId="79" xfId="0" applyFont="1" applyFill="1" applyBorder="1" applyAlignment="1" applyProtection="1">
      <alignment horizontal="center" vertical="center"/>
      <protection/>
    </xf>
    <xf numFmtId="181" fontId="48" fillId="2" borderId="78" xfId="0" applyNumberFormat="1" applyFont="1" applyFill="1" applyBorder="1" applyAlignment="1" applyProtection="1">
      <alignment horizontal="right"/>
      <protection/>
    </xf>
    <xf numFmtId="181" fontId="48" fillId="2" borderId="79" xfId="0" applyNumberFormat="1" applyFont="1" applyFill="1" applyBorder="1" applyAlignment="1" applyProtection="1">
      <alignment horizontal="right"/>
      <protection/>
    </xf>
  </cellXfs>
  <cellStyles count="3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1 3 2" xfId="25"/>
    <cellStyle name="20% - Ênfase2" xfId="26"/>
    <cellStyle name="20% - Ênfase2 2" xfId="27"/>
    <cellStyle name="20% - Ênfase2 2 2" xfId="28"/>
    <cellStyle name="20% - Ênfase2 3" xfId="29"/>
    <cellStyle name="20% - Ênfase2 3 2" xfId="30"/>
    <cellStyle name="20% - Ênfase3" xfId="31"/>
    <cellStyle name="20% - Ênfase3 2" xfId="32"/>
    <cellStyle name="20% - Ênfase3 2 2" xfId="33"/>
    <cellStyle name="20% - Ênfase3 3" xfId="34"/>
    <cellStyle name="20% - Ênfase3 3 2" xfId="35"/>
    <cellStyle name="20% - Ênfase4" xfId="36"/>
    <cellStyle name="20% - Ênfase4 2" xfId="37"/>
    <cellStyle name="20% - Ênfase4 2 2" xfId="38"/>
    <cellStyle name="20% - Ênfase4 3" xfId="39"/>
    <cellStyle name="20% - Ênfase4 3 2" xfId="40"/>
    <cellStyle name="20% - Ênfase5" xfId="41"/>
    <cellStyle name="20% - Ênfase5 2" xfId="42"/>
    <cellStyle name="20% - Ênfase5 2 2" xfId="43"/>
    <cellStyle name="20% - Ênfase5 3" xfId="44"/>
    <cellStyle name="20% - Ênfase5 3 2" xfId="45"/>
    <cellStyle name="20% - Ênfase6" xfId="46"/>
    <cellStyle name="20% - Ênfase6 2" xfId="47"/>
    <cellStyle name="20% - Ênfase6 2 2" xfId="48"/>
    <cellStyle name="20% - Ênfase6 3" xfId="49"/>
    <cellStyle name="20% - Ênfase6 3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Ênfase1" xfId="57"/>
    <cellStyle name="40% - Ênfase1 2" xfId="58"/>
    <cellStyle name="40% - Ênfase1 2 2" xfId="59"/>
    <cellStyle name="40% - Ênfase1 3" xfId="60"/>
    <cellStyle name="40% - Ênfase1 3 2" xfId="61"/>
    <cellStyle name="40% - Ênfase2" xfId="62"/>
    <cellStyle name="40% - Ênfase2 2" xfId="63"/>
    <cellStyle name="40% - Ênfase2 2 2" xfId="64"/>
    <cellStyle name="40% - Ênfase2 3" xfId="65"/>
    <cellStyle name="40% - Ênfase2 3 2" xfId="66"/>
    <cellStyle name="40% - Ênfase3" xfId="67"/>
    <cellStyle name="40% - Ênfase3 2" xfId="68"/>
    <cellStyle name="40% - Ênfase3 2 2" xfId="69"/>
    <cellStyle name="40% - Ênfase3 3" xfId="70"/>
    <cellStyle name="40% - Ênfase3 3 2" xfId="71"/>
    <cellStyle name="40% - Ênfase4" xfId="72"/>
    <cellStyle name="40% - Ênfase4 2" xfId="73"/>
    <cellStyle name="40% - Ênfase4 2 2" xfId="74"/>
    <cellStyle name="40% - Ênfase4 3" xfId="75"/>
    <cellStyle name="40% - Ênfase4 3 2" xfId="76"/>
    <cellStyle name="40% - Ênfase5" xfId="77"/>
    <cellStyle name="40% - Ênfase5 2" xfId="78"/>
    <cellStyle name="40% - Ênfase5 2 2" xfId="79"/>
    <cellStyle name="40% - Ênfase5 3" xfId="80"/>
    <cellStyle name="40% - Ênfase5 3 2" xfId="81"/>
    <cellStyle name="40% - Ênfase6" xfId="82"/>
    <cellStyle name="40% - Ênfase6 2" xfId="83"/>
    <cellStyle name="40% - Ênfase6 2 2" xfId="84"/>
    <cellStyle name="40% - Ênfase6 3" xfId="85"/>
    <cellStyle name="40% - Ênfase6 3 2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Ênfase1" xfId="93"/>
    <cellStyle name="60% - Ênfase1 2" xfId="94"/>
    <cellStyle name="60% - Ênfase1 2 2" xfId="95"/>
    <cellStyle name="60% - Ênfase1 3" xfId="96"/>
    <cellStyle name="60% - Ênfase1 3 2" xfId="97"/>
    <cellStyle name="60% - Ênfase2" xfId="98"/>
    <cellStyle name="60% - Ênfase2 2" xfId="99"/>
    <cellStyle name="60% - Ênfase2 2 2" xfId="100"/>
    <cellStyle name="60% - Ênfase2 3" xfId="101"/>
    <cellStyle name="60% - Ênfase2 3 2" xfId="102"/>
    <cellStyle name="60% - Ênfase3" xfId="103"/>
    <cellStyle name="60% - Ênfase3 2" xfId="104"/>
    <cellStyle name="60% - Ênfase3 2 2" xfId="105"/>
    <cellStyle name="60% - Ênfase3 3" xfId="106"/>
    <cellStyle name="60% - Ênfase3 3 2" xfId="107"/>
    <cellStyle name="60% - Ênfase4" xfId="108"/>
    <cellStyle name="60% - Ênfase4 2" xfId="109"/>
    <cellStyle name="60% - Ênfase4 2 2" xfId="110"/>
    <cellStyle name="60% - Ênfase4 3" xfId="111"/>
    <cellStyle name="60% - Ênfase4 3 2" xfId="112"/>
    <cellStyle name="60% - Ênfase5" xfId="113"/>
    <cellStyle name="60% - Ênfase5 2" xfId="114"/>
    <cellStyle name="60% - Ênfase5 2 2" xfId="115"/>
    <cellStyle name="60% - Ênfase5 3" xfId="116"/>
    <cellStyle name="60% - Ênfase5 3 2" xfId="117"/>
    <cellStyle name="60% - Ênfase6" xfId="118"/>
    <cellStyle name="60% - Ênfase6 2" xfId="119"/>
    <cellStyle name="60% - Ênfase6 2 2" xfId="120"/>
    <cellStyle name="60% - Ênfase6 3" xfId="121"/>
    <cellStyle name="60% - Ênfase6 3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Bom 3" xfId="133"/>
    <cellStyle name="Bom 3 2" xfId="134"/>
    <cellStyle name="Calculation" xfId="135"/>
    <cellStyle name="Cálculo" xfId="136"/>
    <cellStyle name="Cálculo 2" xfId="137"/>
    <cellStyle name="Cálculo 2 2" xfId="138"/>
    <cellStyle name="Cálculo 3" xfId="139"/>
    <cellStyle name="Cálculo 3 2" xfId="140"/>
    <cellStyle name="Cancel" xfId="141"/>
    <cellStyle name="Cancel 2" xfId="142"/>
    <cellStyle name="Cancel 3" xfId="143"/>
    <cellStyle name="Célula de Verificação" xfId="144"/>
    <cellStyle name="Célula de Verificação 2" xfId="145"/>
    <cellStyle name="Célula de Verificação 2 2" xfId="146"/>
    <cellStyle name="Célula de Verificação 3" xfId="147"/>
    <cellStyle name="Célula de Verificação 3 2" xfId="148"/>
    <cellStyle name="Célula Vinculada" xfId="149"/>
    <cellStyle name="Célula Vinculada 2" xfId="150"/>
    <cellStyle name="Célula Vinculada 2 2" xfId="151"/>
    <cellStyle name="Célula Vinculada 3" xfId="152"/>
    <cellStyle name="Célula Vinculada 3 2" xfId="153"/>
    <cellStyle name="Check Cell" xfId="154"/>
    <cellStyle name="Data" xfId="155"/>
    <cellStyle name="Ênfase1" xfId="156"/>
    <cellStyle name="Ênfase1 2" xfId="157"/>
    <cellStyle name="Ênfase1 2 2" xfId="158"/>
    <cellStyle name="Ênfase1 3" xfId="159"/>
    <cellStyle name="Ênfase1 3 2" xfId="160"/>
    <cellStyle name="Ênfase2" xfId="161"/>
    <cellStyle name="Ênfase2 2" xfId="162"/>
    <cellStyle name="Ênfase2 2 2" xfId="163"/>
    <cellStyle name="Ênfase2 3" xfId="164"/>
    <cellStyle name="Ênfase2 3 2" xfId="165"/>
    <cellStyle name="Ênfase3" xfId="166"/>
    <cellStyle name="Ênfase3 2" xfId="167"/>
    <cellStyle name="Ênfase3 2 2" xfId="168"/>
    <cellStyle name="Ênfase3 3" xfId="169"/>
    <cellStyle name="Ênfase3 3 2" xfId="170"/>
    <cellStyle name="Ênfase4" xfId="171"/>
    <cellStyle name="Ênfase4 2" xfId="172"/>
    <cellStyle name="Ênfase4 2 2" xfId="173"/>
    <cellStyle name="Ênfase4 3" xfId="174"/>
    <cellStyle name="Ênfase4 3 2" xfId="175"/>
    <cellStyle name="Ênfase5" xfId="176"/>
    <cellStyle name="Ênfase5 2" xfId="177"/>
    <cellStyle name="Ênfase5 2 2" xfId="178"/>
    <cellStyle name="Ênfase5 3" xfId="179"/>
    <cellStyle name="Ênfase5 3 2" xfId="180"/>
    <cellStyle name="Ênfase6" xfId="181"/>
    <cellStyle name="Ênfase6 2" xfId="182"/>
    <cellStyle name="Ênfase6 2 2" xfId="183"/>
    <cellStyle name="Ênfase6 3" xfId="184"/>
    <cellStyle name="Ênfase6 3 2" xfId="185"/>
    <cellStyle name="Entrada" xfId="186"/>
    <cellStyle name="Entrada 2" xfId="187"/>
    <cellStyle name="Entrada 2 2" xfId="188"/>
    <cellStyle name="Entrada 3" xfId="189"/>
    <cellStyle name="Entrada 3 2" xfId="190"/>
    <cellStyle name="Explanatory Text" xfId="191"/>
    <cellStyle name="Fixo" xfId="192"/>
    <cellStyle name="Good" xfId="193"/>
    <cellStyle name="Heading 1" xfId="194"/>
    <cellStyle name="Heading 2" xfId="195"/>
    <cellStyle name="Heading 3" xfId="196"/>
    <cellStyle name="Heading 4" xfId="197"/>
    <cellStyle name="Hyperlink" xfId="198"/>
    <cellStyle name="Followed Hyperlink" xfId="199"/>
    <cellStyle name="Incorreto" xfId="200"/>
    <cellStyle name="Incorreto 2" xfId="201"/>
    <cellStyle name="Incorreto 2 2" xfId="202"/>
    <cellStyle name="Incorreto 3" xfId="203"/>
    <cellStyle name="Incorreto 3 2" xfId="204"/>
    <cellStyle name="Input" xfId="205"/>
    <cellStyle name="Linked Cell" xfId="206"/>
    <cellStyle name="Currency" xfId="207"/>
    <cellStyle name="Currency [0]" xfId="208"/>
    <cellStyle name="Moeda 2" xfId="209"/>
    <cellStyle name="Moeda 2 2" xfId="210"/>
    <cellStyle name="Moeda 2 2 2" xfId="211"/>
    <cellStyle name="Moeda 2 3" xfId="212"/>
    <cellStyle name="Moeda 2 4" xfId="213"/>
    <cellStyle name="Moeda 2_Planilha de Composição de Custos - Copeiragem e Recepc MODELO" xfId="214"/>
    <cellStyle name="Moeda 3" xfId="215"/>
    <cellStyle name="Moeda 3 2" xfId="216"/>
    <cellStyle name="Moeda 4" xfId="217"/>
    <cellStyle name="Moeda 5" xfId="218"/>
    <cellStyle name="Moeda 6" xfId="219"/>
    <cellStyle name="Moeda 7" xfId="220"/>
    <cellStyle name="Neutra" xfId="221"/>
    <cellStyle name="Neutra 2" xfId="222"/>
    <cellStyle name="Neutra 2 2" xfId="223"/>
    <cellStyle name="Neutra 3" xfId="224"/>
    <cellStyle name="Neutra 3 2" xfId="225"/>
    <cellStyle name="Neutral" xfId="226"/>
    <cellStyle name="Normal 2" xfId="227"/>
    <cellStyle name="Normal 2 2" xfId="228"/>
    <cellStyle name="Normal 2 2 2" xfId="229"/>
    <cellStyle name="Normal 2_Planilha de Composição de Custos - Copeiragem e Recepc MODELO" xfId="230"/>
    <cellStyle name="Normal 3" xfId="231"/>
    <cellStyle name="Normal 4" xfId="232"/>
    <cellStyle name="Normal 5" xfId="233"/>
    <cellStyle name="Normal 6" xfId="234"/>
    <cellStyle name="Normal 7" xfId="235"/>
    <cellStyle name="Normal 8" xfId="236"/>
    <cellStyle name="Normal_PLANILHA - LICITAÇÃO CHIQUINHO DE CARVALHO" xfId="237"/>
    <cellStyle name="Normal_Planilha com Declaração RT" xfId="238"/>
    <cellStyle name="Nota" xfId="239"/>
    <cellStyle name="Nota 2" xfId="240"/>
    <cellStyle name="Nota 2 2" xfId="241"/>
    <cellStyle name="Nota 3" xfId="242"/>
    <cellStyle name="Nota 3 2" xfId="243"/>
    <cellStyle name="Note" xfId="244"/>
    <cellStyle name="Output" xfId="245"/>
    <cellStyle name="Percentual" xfId="246"/>
    <cellStyle name="Ponto" xfId="247"/>
    <cellStyle name="Percent" xfId="248"/>
    <cellStyle name="Porcentagem 10" xfId="249"/>
    <cellStyle name="Porcentagem 2" xfId="250"/>
    <cellStyle name="Porcentagem 2 2" xfId="251"/>
    <cellStyle name="Porcentagem 2 3" xfId="252"/>
    <cellStyle name="Porcentagem 3" xfId="253"/>
    <cellStyle name="Porcentagem 4" xfId="254"/>
    <cellStyle name="Porcentagem 5" xfId="255"/>
    <cellStyle name="Porcentagem 5 2" xfId="256"/>
    <cellStyle name="Saída" xfId="257"/>
    <cellStyle name="Saída 2" xfId="258"/>
    <cellStyle name="Saída 2 2" xfId="259"/>
    <cellStyle name="Saída 3" xfId="260"/>
    <cellStyle name="Saída 3 2" xfId="261"/>
    <cellStyle name="Separador de m" xfId="262"/>
    <cellStyle name="Comma" xfId="263"/>
    <cellStyle name="Comma [0]" xfId="264"/>
    <cellStyle name="Separador de milhares 10" xfId="265"/>
    <cellStyle name="Separador de milhares 10 2" xfId="266"/>
    <cellStyle name="Separador de milhares 2" xfId="267"/>
    <cellStyle name="Separador de milhares 2 2" xfId="268"/>
    <cellStyle name="Separador de milhares 2 2 2" xfId="269"/>
    <cellStyle name="Separador de milhares 2 3" xfId="270"/>
    <cellStyle name="Separador de milhares 3" xfId="271"/>
    <cellStyle name="Separador de milhares 4" xfId="272"/>
    <cellStyle name="Separador de milhares 5" xfId="273"/>
    <cellStyle name="Texto de Aviso" xfId="274"/>
    <cellStyle name="Texto de Aviso 2" xfId="275"/>
    <cellStyle name="Texto de Aviso 2 2" xfId="276"/>
    <cellStyle name="Texto de Aviso 3" xfId="277"/>
    <cellStyle name="Texto de Aviso 3 2" xfId="278"/>
    <cellStyle name="Texto Explicativo" xfId="279"/>
    <cellStyle name="Texto Explicativo 2" xfId="280"/>
    <cellStyle name="Texto Explicativo 2 2" xfId="281"/>
    <cellStyle name="Texto Explicativo 3" xfId="282"/>
    <cellStyle name="Texto Explicativo 3 2" xfId="283"/>
    <cellStyle name="Title" xfId="284"/>
    <cellStyle name="Título" xfId="285"/>
    <cellStyle name="Título 1" xfId="286"/>
    <cellStyle name="Título 1 2" xfId="287"/>
    <cellStyle name="Título 1 2 2" xfId="288"/>
    <cellStyle name="Título 1 3" xfId="289"/>
    <cellStyle name="Título 1 3 2" xfId="290"/>
    <cellStyle name="Título 2" xfId="291"/>
    <cellStyle name="Título 2 2" xfId="292"/>
    <cellStyle name="Título 2 2 2" xfId="293"/>
    <cellStyle name="Título 2 3" xfId="294"/>
    <cellStyle name="Título 2 3 2" xfId="295"/>
    <cellStyle name="Título 3" xfId="296"/>
    <cellStyle name="Título 3 2" xfId="297"/>
    <cellStyle name="Título 3 2 2" xfId="298"/>
    <cellStyle name="Título 3 3" xfId="299"/>
    <cellStyle name="Título 3 3 2" xfId="300"/>
    <cellStyle name="Título 4" xfId="301"/>
    <cellStyle name="Título 4 2" xfId="302"/>
    <cellStyle name="Título 4 2 2" xfId="303"/>
    <cellStyle name="Título 4 3" xfId="304"/>
    <cellStyle name="Título 4 3 2" xfId="305"/>
    <cellStyle name="Título 5" xfId="306"/>
    <cellStyle name="Título 5 2" xfId="307"/>
    <cellStyle name="Título 6" xfId="308"/>
    <cellStyle name="Título 6 2" xfId="309"/>
    <cellStyle name="Titulo1" xfId="310"/>
    <cellStyle name="Titulo2" xfId="311"/>
    <cellStyle name="Total" xfId="312"/>
    <cellStyle name="Total 2" xfId="313"/>
    <cellStyle name="Total 2 2" xfId="314"/>
    <cellStyle name="Total 3" xfId="315"/>
    <cellStyle name="Total 3 2" xfId="316"/>
    <cellStyle name="Vírgula 3" xfId="317"/>
    <cellStyle name="Warning Text" xfId="318"/>
  </cellStyles>
  <dxfs count="75"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2"/>
      </font>
      <fill>
        <patternFill>
          <bgColor indexed="27"/>
        </patternFill>
      </fill>
    </dxf>
    <dxf>
      <fill>
        <patternFill patternType="gray125">
          <bgColor indexed="51"/>
        </patternFill>
      </fill>
    </dxf>
    <dxf>
      <font>
        <b/>
        <i/>
        <color indexed="10"/>
      </font>
    </dxf>
    <dxf>
      <fill>
        <patternFill patternType="gray0625">
          <bgColor indexed="51"/>
        </patternFill>
      </fill>
    </dxf>
    <dxf>
      <font>
        <b/>
        <i val="0"/>
        <color auto="1"/>
      </font>
      <fill>
        <patternFill>
          <bgColor indexed="55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47625</xdr:rowOff>
    </xdr:from>
    <xdr:to>
      <xdr:col>5</xdr:col>
      <xdr:colOff>381000</xdr:colOff>
      <xdr:row>0</xdr:row>
      <xdr:rowOff>685800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057400" y="47625"/>
          <a:ext cx="3838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1</xdr:col>
      <xdr:colOff>66675</xdr:colOff>
      <xdr:row>0</xdr:row>
      <xdr:rowOff>38100</xdr:rowOff>
    </xdr:from>
    <xdr:to>
      <xdr:col>2</xdr:col>
      <xdr:colOff>676275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600075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5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quivos%20internos\Quadro%20de%20quantidades\ORCA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MLS\PAVIMENTA&#199;&#195;O%20MINIST&#201;RIO\PLANILHA%20MODELO%20PAVIMENTA&#199;&#195;O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MLS\MODELO%20PLANILHA%20E%20BDI%20ATUALIZAD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%20DELL\PMLS\Planilha%20de%20Composi&#231;&#227;o%20de%20Custos%20-%20Copeiragem%20e%20Recepc%20MODEL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ARIA MODELO"/>
      <sheetName val="ORÇAMENTARARIA SETOP"/>
      <sheetName val="ORÇAMENTARIA SINAPI"/>
      <sheetName val="ORÇAMENTARIA SUDECAP"/>
      <sheetName val="Mémoria de Cálculo - obra"/>
      <sheetName val="CRONOGRAMA"/>
      <sheetName val="RUA MATO GROSSO"/>
    </sheetNames>
    <sheetDataSet>
      <sheetData sheetId="0">
        <row r="5">
          <cell r="A5" t="str">
            <v>CONVENENTE: PREFEITURA MUNICIPAL DE LAGOA SANTA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BDI TCU 2622 - EDIF"/>
      <sheetName val="BDI TCU 2622 -URBANAS "/>
      <sheetName val="BDI TCU 2622 -SANEAMENTO"/>
      <sheetName val="BDI TCU 2622 - ELET"/>
      <sheetName val="BDI TCU 2622 - MAT.EQUIP"/>
      <sheetName val="BDI TCU 2622 PORT.MAR.FLU"/>
      <sheetName val="QCI"/>
      <sheetName val="CRONOGRAMA FINAN"/>
      <sheetName val="CRONOGRAMA FÍSICO"/>
    </sheetNames>
    <sheetDataSet>
      <sheetData sheetId="0">
        <row r="11">
          <cell r="N11" t="str">
            <v>MG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MANDA"/>
      <sheetName val="Salários"/>
      <sheetName val="INSUMOS"/>
      <sheetName val="PLAN. Copeiragem e Recepção"/>
      <sheetName val="Uniforme Copeira"/>
      <sheetName val="Uniforme Recepcionista"/>
      <sheetName val="ORÇAMENTO"/>
    </sheetNames>
    <sheetDataSet>
      <sheetData sheetId="2">
        <row r="18">
          <cell r="A18" t="str">
            <v>Cesta Básica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showGridLines="0" showZeros="0" tabSelected="1" view="pageBreakPreview" zoomScaleSheetLayoutView="100" zoomScalePageLayoutView="0" workbookViewId="0" topLeftCell="A187">
      <selection activeCell="B6" sqref="B6:F6"/>
    </sheetView>
  </sheetViews>
  <sheetFormatPr defaultColWidth="9.140625" defaultRowHeight="12.75"/>
  <cols>
    <col min="1" max="1" width="2.8515625" style="1" customWidth="1"/>
    <col min="2" max="2" width="7.57421875" style="1" customWidth="1"/>
    <col min="3" max="3" width="15.57421875" style="1" customWidth="1"/>
    <col min="4" max="4" width="47.57421875" style="1" customWidth="1"/>
    <col min="5" max="5" width="9.140625" style="1" customWidth="1"/>
    <col min="6" max="6" width="11.7109375" style="1" customWidth="1"/>
    <col min="7" max="7" width="13.421875" style="1" customWidth="1"/>
    <col min="8" max="8" width="11.7109375" style="1" customWidth="1"/>
    <col min="9" max="9" width="14.421875" style="1" customWidth="1"/>
    <col min="10" max="10" width="20.28125" style="1" customWidth="1"/>
    <col min="11" max="16384" width="9.140625" style="1" customWidth="1"/>
  </cols>
  <sheetData>
    <row r="1" spans="1:9" ht="60.75" customHeight="1">
      <c r="A1" s="158"/>
      <c r="B1" s="251"/>
      <c r="C1" s="252"/>
      <c r="D1" s="256"/>
      <c r="E1" s="256"/>
      <c r="F1" s="256"/>
      <c r="G1" s="256"/>
      <c r="H1" s="256"/>
      <c r="I1" s="257"/>
    </row>
    <row r="2" spans="1:9" ht="3.75" customHeight="1" thickBot="1">
      <c r="A2" s="26"/>
      <c r="B2" s="248"/>
      <c r="C2" s="249"/>
      <c r="D2" s="249"/>
      <c r="E2" s="249"/>
      <c r="F2" s="249"/>
      <c r="G2" s="249"/>
      <c r="H2" s="249"/>
      <c r="I2" s="250"/>
    </row>
    <row r="3" spans="1:9" ht="19.5" customHeight="1" thickBot="1">
      <c r="A3" s="26"/>
      <c r="B3" s="258" t="s">
        <v>0</v>
      </c>
      <c r="C3" s="259"/>
      <c r="D3" s="259"/>
      <c r="E3" s="259"/>
      <c r="F3" s="259"/>
      <c r="G3" s="259"/>
      <c r="H3" s="259"/>
      <c r="I3" s="260"/>
    </row>
    <row r="4" spans="1:9" ht="3.75" customHeight="1" thickBot="1">
      <c r="A4" s="26"/>
      <c r="B4" s="2"/>
      <c r="C4" s="3"/>
      <c r="D4" s="3"/>
      <c r="E4" s="3"/>
      <c r="F4" s="3"/>
      <c r="G4" s="3"/>
      <c r="H4" s="3"/>
      <c r="I4" s="4"/>
    </row>
    <row r="5" spans="1:9" ht="19.5" customHeight="1">
      <c r="A5" s="26"/>
      <c r="B5" s="266" t="s">
        <v>1</v>
      </c>
      <c r="C5" s="267"/>
      <c r="D5" s="267"/>
      <c r="E5" s="267"/>
      <c r="F5" s="268"/>
      <c r="G5" s="261" t="s">
        <v>2</v>
      </c>
      <c r="H5" s="262"/>
      <c r="I5" s="263"/>
    </row>
    <row r="6" spans="1:9" ht="19.5" customHeight="1">
      <c r="A6" s="26"/>
      <c r="B6" s="243" t="s">
        <v>316</v>
      </c>
      <c r="C6" s="238"/>
      <c r="D6" s="238"/>
      <c r="E6" s="238"/>
      <c r="F6" s="244"/>
      <c r="G6" s="264" t="s">
        <v>317</v>
      </c>
      <c r="H6" s="237"/>
      <c r="I6" s="265"/>
    </row>
    <row r="7" spans="1:13" ht="25.5" customHeight="1">
      <c r="A7" s="26"/>
      <c r="B7" s="231" t="s">
        <v>318</v>
      </c>
      <c r="C7" s="232"/>
      <c r="D7" s="232"/>
      <c r="E7" s="233"/>
      <c r="F7" s="237" t="s">
        <v>3</v>
      </c>
      <c r="G7" s="238"/>
      <c r="H7" s="238"/>
      <c r="I7" s="239"/>
      <c r="M7" s="1" t="s">
        <v>319</v>
      </c>
    </row>
    <row r="8" spans="1:9" ht="19.5" customHeight="1">
      <c r="A8" s="26"/>
      <c r="B8" s="243" t="s">
        <v>268</v>
      </c>
      <c r="C8" s="238"/>
      <c r="D8" s="238"/>
      <c r="E8" s="244"/>
      <c r="F8" s="269" t="s">
        <v>4</v>
      </c>
      <c r="G8" s="241" t="s">
        <v>5</v>
      </c>
      <c r="H8" s="5"/>
      <c r="I8" s="6" t="s">
        <v>6</v>
      </c>
    </row>
    <row r="9" spans="1:10" ht="19.5" customHeight="1" thickBot="1">
      <c r="A9" s="26"/>
      <c r="B9" s="253" t="s">
        <v>149</v>
      </c>
      <c r="C9" s="254"/>
      <c r="D9" s="254"/>
      <c r="E9" s="255"/>
      <c r="F9" s="270"/>
      <c r="G9" s="242"/>
      <c r="H9" s="7"/>
      <c r="I9" s="8">
        <v>0.3148</v>
      </c>
      <c r="J9" s="1">
        <v>0.3</v>
      </c>
    </row>
    <row r="10" spans="1:9" ht="3.75" customHeight="1" thickBot="1">
      <c r="A10" s="26"/>
      <c r="B10" s="234"/>
      <c r="C10" s="235"/>
      <c r="D10" s="235"/>
      <c r="E10" s="235"/>
      <c r="F10" s="235"/>
      <c r="G10" s="235"/>
      <c r="H10" s="235"/>
      <c r="I10" s="236"/>
    </row>
    <row r="11" spans="1:9" ht="38.25">
      <c r="A11" s="26"/>
      <c r="B11" s="9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1" t="s">
        <v>12</v>
      </c>
      <c r="H11" s="11" t="s">
        <v>13</v>
      </c>
      <c r="I11" s="12" t="s">
        <v>14</v>
      </c>
    </row>
    <row r="12" spans="1:9" ht="18.75">
      <c r="A12" s="26"/>
      <c r="B12" s="159"/>
      <c r="C12" s="160"/>
      <c r="D12" s="245" t="s">
        <v>320</v>
      </c>
      <c r="E12" s="246"/>
      <c r="F12" s="247"/>
      <c r="G12" s="161"/>
      <c r="H12" s="161"/>
      <c r="I12" s="162"/>
    </row>
    <row r="13" spans="1:10" ht="18.75" customHeight="1">
      <c r="A13" s="26"/>
      <c r="B13" s="91">
        <v>1</v>
      </c>
      <c r="C13" s="13"/>
      <c r="D13" s="14" t="s">
        <v>109</v>
      </c>
      <c r="E13" s="15"/>
      <c r="F13" s="16"/>
      <c r="G13" s="17"/>
      <c r="H13" s="18">
        <f aca="true" t="shared" si="0" ref="H13:H30">ROUND(G13+(G13*$I$9),2)</f>
        <v>0</v>
      </c>
      <c r="I13" s="100">
        <f>SUM(I14:I30)</f>
        <v>454607.81</v>
      </c>
      <c r="J13" s="19">
        <f>SUM(I30:I30)</f>
        <v>2469.48</v>
      </c>
    </row>
    <row r="14" spans="1:10" s="21" customFormat="1" ht="18.75" customHeight="1">
      <c r="A14" s="163"/>
      <c r="B14" s="127" t="s">
        <v>15</v>
      </c>
      <c r="C14" s="128"/>
      <c r="D14" s="129" t="s">
        <v>16</v>
      </c>
      <c r="E14" s="130" t="s">
        <v>17</v>
      </c>
      <c r="F14" s="131">
        <v>1</v>
      </c>
      <c r="G14" s="132">
        <f>J218*0.003</f>
        <v>3640.51404</v>
      </c>
      <c r="H14" s="164">
        <f t="shared" si="0"/>
        <v>4786.55</v>
      </c>
      <c r="I14" s="133">
        <f aca="true" t="shared" si="1" ref="I14:I30">ROUND((F14*H14),2)</f>
        <v>4786.55</v>
      </c>
      <c r="J14" s="20" t="s">
        <v>321</v>
      </c>
    </row>
    <row r="15" spans="1:10" s="21" customFormat="1" ht="27.75" customHeight="1">
      <c r="A15" s="163"/>
      <c r="B15" s="127" t="s">
        <v>81</v>
      </c>
      <c r="C15" s="165" t="s">
        <v>19</v>
      </c>
      <c r="D15" s="166" t="s">
        <v>20</v>
      </c>
      <c r="E15" s="130" t="s">
        <v>41</v>
      </c>
      <c r="F15" s="131">
        <v>6</v>
      </c>
      <c r="G15" s="164">
        <v>12367.96</v>
      </c>
      <c r="H15" s="164">
        <f t="shared" si="0"/>
        <v>16261.39</v>
      </c>
      <c r="I15" s="133">
        <f t="shared" si="1"/>
        <v>97568.34</v>
      </c>
      <c r="J15" s="20"/>
    </row>
    <row r="16" spans="1:10" s="21" customFormat="1" ht="28.5" customHeight="1">
      <c r="A16" s="163"/>
      <c r="B16" s="127" t="s">
        <v>18</v>
      </c>
      <c r="C16" s="165" t="s">
        <v>22</v>
      </c>
      <c r="D16" s="166" t="s">
        <v>23</v>
      </c>
      <c r="E16" s="130" t="s">
        <v>41</v>
      </c>
      <c r="F16" s="131">
        <v>6</v>
      </c>
      <c r="G16" s="164">
        <v>4969.13</v>
      </c>
      <c r="H16" s="164">
        <f t="shared" si="0"/>
        <v>6533.41</v>
      </c>
      <c r="I16" s="133">
        <f t="shared" si="1"/>
        <v>39200.46</v>
      </c>
      <c r="J16" s="20"/>
    </row>
    <row r="17" spans="1:10" s="21" customFormat="1" ht="18" customHeight="1">
      <c r="A17" s="163"/>
      <c r="B17" s="127" t="s">
        <v>21</v>
      </c>
      <c r="C17" s="134" t="s">
        <v>269</v>
      </c>
      <c r="D17" s="135" t="s">
        <v>270</v>
      </c>
      <c r="E17" s="130" t="s">
        <v>41</v>
      </c>
      <c r="F17" s="131">
        <v>6</v>
      </c>
      <c r="G17" s="164">
        <v>3178.3</v>
      </c>
      <c r="H17" s="164">
        <f t="shared" si="0"/>
        <v>4178.83</v>
      </c>
      <c r="I17" s="133">
        <f t="shared" si="1"/>
        <v>25072.98</v>
      </c>
      <c r="J17" s="20"/>
    </row>
    <row r="18" spans="1:10" s="21" customFormat="1" ht="18" customHeight="1">
      <c r="A18" s="163"/>
      <c r="B18" s="127" t="s">
        <v>82</v>
      </c>
      <c r="C18" s="134" t="s">
        <v>271</v>
      </c>
      <c r="D18" s="135" t="s">
        <v>272</v>
      </c>
      <c r="E18" s="130" t="s">
        <v>41</v>
      </c>
      <c r="F18" s="131">
        <v>6</v>
      </c>
      <c r="G18" s="164">
        <v>4502.9</v>
      </c>
      <c r="H18" s="164">
        <f t="shared" si="0"/>
        <v>5920.41</v>
      </c>
      <c r="I18" s="133">
        <f t="shared" si="1"/>
        <v>35522.46</v>
      </c>
      <c r="J18" s="20"/>
    </row>
    <row r="19" spans="1:10" s="21" customFormat="1" ht="18" customHeight="1">
      <c r="A19" s="163"/>
      <c r="B19" s="127" t="s">
        <v>83</v>
      </c>
      <c r="C19" s="134" t="s">
        <v>273</v>
      </c>
      <c r="D19" s="135" t="s">
        <v>274</v>
      </c>
      <c r="E19" s="130" t="s">
        <v>41</v>
      </c>
      <c r="F19" s="131">
        <v>6</v>
      </c>
      <c r="G19" s="164">
        <v>2157.1</v>
      </c>
      <c r="H19" s="164">
        <f t="shared" si="0"/>
        <v>2836.16</v>
      </c>
      <c r="I19" s="133">
        <f t="shared" si="1"/>
        <v>17016.96</v>
      </c>
      <c r="J19" s="20"/>
    </row>
    <row r="20" spans="1:10" s="21" customFormat="1" ht="16.5" customHeight="1">
      <c r="A20" s="163"/>
      <c r="B20" s="127" t="s">
        <v>84</v>
      </c>
      <c r="C20" s="128" t="s">
        <v>33</v>
      </c>
      <c r="D20" s="136" t="s">
        <v>32</v>
      </c>
      <c r="E20" s="130" t="s">
        <v>31</v>
      </c>
      <c r="F20" s="131">
        <v>3960</v>
      </c>
      <c r="G20" s="132">
        <v>18.17</v>
      </c>
      <c r="H20" s="164">
        <f t="shared" si="0"/>
        <v>23.89</v>
      </c>
      <c r="I20" s="133">
        <f t="shared" si="1"/>
        <v>94604.4</v>
      </c>
      <c r="J20" s="20"/>
    </row>
    <row r="21" spans="1:10" s="21" customFormat="1" ht="16.5" customHeight="1">
      <c r="A21" s="163"/>
      <c r="B21" s="127" t="s">
        <v>116</v>
      </c>
      <c r="C21" s="128" t="s">
        <v>275</v>
      </c>
      <c r="D21" s="129" t="s">
        <v>276</v>
      </c>
      <c r="E21" s="130" t="s">
        <v>41</v>
      </c>
      <c r="F21" s="131">
        <v>6</v>
      </c>
      <c r="G21" s="132">
        <v>7963.2</v>
      </c>
      <c r="H21" s="164">
        <f t="shared" si="0"/>
        <v>10470.02</v>
      </c>
      <c r="I21" s="133">
        <f t="shared" si="1"/>
        <v>62820.12</v>
      </c>
      <c r="J21" s="20"/>
    </row>
    <row r="22" spans="1:10" s="21" customFormat="1" ht="24.75" customHeight="1">
      <c r="A22" s="163"/>
      <c r="B22" s="127" t="s">
        <v>148</v>
      </c>
      <c r="C22" s="128" t="s">
        <v>277</v>
      </c>
      <c r="D22" s="129" t="s">
        <v>278</v>
      </c>
      <c r="E22" s="130" t="s">
        <v>31</v>
      </c>
      <c r="F22" s="131">
        <v>1320</v>
      </c>
      <c r="G22" s="132">
        <v>14.06</v>
      </c>
      <c r="H22" s="164">
        <f t="shared" si="0"/>
        <v>18.49</v>
      </c>
      <c r="I22" s="133">
        <f t="shared" si="1"/>
        <v>24406.8</v>
      </c>
      <c r="J22" s="20"/>
    </row>
    <row r="23" spans="1:10" s="21" customFormat="1" ht="56.25" customHeight="1">
      <c r="A23" s="163"/>
      <c r="B23" s="127" t="s">
        <v>264</v>
      </c>
      <c r="C23" s="128" t="s">
        <v>40</v>
      </c>
      <c r="D23" s="129" t="s">
        <v>39</v>
      </c>
      <c r="E23" s="130" t="s">
        <v>41</v>
      </c>
      <c r="F23" s="131">
        <v>6</v>
      </c>
      <c r="G23" s="132">
        <v>353.51</v>
      </c>
      <c r="H23" s="164">
        <f t="shared" si="0"/>
        <v>464.79</v>
      </c>
      <c r="I23" s="133">
        <f t="shared" si="1"/>
        <v>2788.74</v>
      </c>
      <c r="J23" s="20"/>
    </row>
    <row r="24" spans="1:10" s="21" customFormat="1" ht="17.25" customHeight="1">
      <c r="A24" s="163"/>
      <c r="B24" s="127" t="s">
        <v>265</v>
      </c>
      <c r="C24" s="128" t="s">
        <v>279</v>
      </c>
      <c r="D24" s="129" t="s">
        <v>280</v>
      </c>
      <c r="E24" s="130" t="s">
        <v>41</v>
      </c>
      <c r="F24" s="131">
        <v>6</v>
      </c>
      <c r="G24" s="132">
        <v>777.4</v>
      </c>
      <c r="H24" s="164">
        <f t="shared" si="0"/>
        <v>1022.13</v>
      </c>
      <c r="I24" s="133">
        <f t="shared" si="1"/>
        <v>6132.78</v>
      </c>
      <c r="J24" s="20"/>
    </row>
    <row r="25" spans="1:10" s="21" customFormat="1" ht="33" customHeight="1">
      <c r="A25" s="163"/>
      <c r="B25" s="127" t="s">
        <v>285</v>
      </c>
      <c r="C25" s="128" t="s">
        <v>281</v>
      </c>
      <c r="D25" s="129" t="s">
        <v>282</v>
      </c>
      <c r="E25" s="130" t="s">
        <v>27</v>
      </c>
      <c r="F25" s="131">
        <v>6</v>
      </c>
      <c r="G25" s="132">
        <v>527.63</v>
      </c>
      <c r="H25" s="164">
        <f t="shared" si="0"/>
        <v>693.73</v>
      </c>
      <c r="I25" s="133">
        <f t="shared" si="1"/>
        <v>4162.38</v>
      </c>
      <c r="J25" s="20"/>
    </row>
    <row r="26" spans="1:10" s="21" customFormat="1" ht="18" customHeight="1">
      <c r="A26" s="163"/>
      <c r="B26" s="127" t="s">
        <v>286</v>
      </c>
      <c r="C26" s="137" t="s">
        <v>283</v>
      </c>
      <c r="D26" s="129" t="s">
        <v>284</v>
      </c>
      <c r="E26" s="130" t="s">
        <v>41</v>
      </c>
      <c r="F26" s="131">
        <v>6</v>
      </c>
      <c r="G26" s="132">
        <v>483.95</v>
      </c>
      <c r="H26" s="164">
        <f t="shared" si="0"/>
        <v>636.3</v>
      </c>
      <c r="I26" s="133">
        <f t="shared" si="1"/>
        <v>3817.8</v>
      </c>
      <c r="J26" s="20"/>
    </row>
    <row r="27" spans="1:10" s="21" customFormat="1" ht="45.75" customHeight="1">
      <c r="A27" s="163"/>
      <c r="B27" s="127" t="s">
        <v>287</v>
      </c>
      <c r="C27" s="128" t="s">
        <v>35</v>
      </c>
      <c r="D27" s="129" t="s">
        <v>34</v>
      </c>
      <c r="E27" s="130" t="s">
        <v>27</v>
      </c>
      <c r="F27" s="131">
        <v>12</v>
      </c>
      <c r="G27" s="132">
        <v>503.51</v>
      </c>
      <c r="H27" s="164">
        <f t="shared" si="0"/>
        <v>662.01</v>
      </c>
      <c r="I27" s="133">
        <f t="shared" si="1"/>
        <v>7944.12</v>
      </c>
      <c r="J27" s="20"/>
    </row>
    <row r="28" spans="1:10" s="21" customFormat="1" ht="44.25" customHeight="1">
      <c r="A28" s="163"/>
      <c r="B28" s="127" t="s">
        <v>288</v>
      </c>
      <c r="C28" s="128" t="s">
        <v>37</v>
      </c>
      <c r="D28" s="129" t="s">
        <v>36</v>
      </c>
      <c r="E28" s="130" t="s">
        <v>27</v>
      </c>
      <c r="F28" s="131">
        <v>12</v>
      </c>
      <c r="G28" s="132">
        <v>360.6</v>
      </c>
      <c r="H28" s="164">
        <f t="shared" si="0"/>
        <v>474.12</v>
      </c>
      <c r="I28" s="133">
        <f t="shared" si="1"/>
        <v>5689.44</v>
      </c>
      <c r="J28" s="20"/>
    </row>
    <row r="29" spans="1:10" s="21" customFormat="1" ht="30.75" customHeight="1">
      <c r="A29" s="163"/>
      <c r="B29" s="127" t="s">
        <v>289</v>
      </c>
      <c r="C29" s="128" t="s">
        <v>146</v>
      </c>
      <c r="D29" s="129" t="s">
        <v>147</v>
      </c>
      <c r="E29" s="130" t="s">
        <v>28</v>
      </c>
      <c r="F29" s="131">
        <v>120</v>
      </c>
      <c r="G29" s="132">
        <v>130.59</v>
      </c>
      <c r="H29" s="164">
        <f t="shared" si="0"/>
        <v>171.7</v>
      </c>
      <c r="I29" s="133">
        <f t="shared" si="1"/>
        <v>20604</v>
      </c>
      <c r="J29" s="20"/>
    </row>
    <row r="30" spans="1:10" ht="19.5" customHeight="1">
      <c r="A30" s="26"/>
      <c r="B30" s="127" t="s">
        <v>290</v>
      </c>
      <c r="C30" s="128" t="s">
        <v>29</v>
      </c>
      <c r="D30" s="129" t="s">
        <v>38</v>
      </c>
      <c r="E30" s="130" t="s">
        <v>27</v>
      </c>
      <c r="F30" s="138">
        <v>6</v>
      </c>
      <c r="G30" s="138">
        <v>313.04</v>
      </c>
      <c r="H30" s="164">
        <f t="shared" si="0"/>
        <v>411.58</v>
      </c>
      <c r="I30" s="167">
        <f t="shared" si="1"/>
        <v>2469.48</v>
      </c>
      <c r="J30" s="19"/>
    </row>
    <row r="31" spans="1:10" ht="19.5" customHeight="1">
      <c r="A31" s="26"/>
      <c r="B31" s="91">
        <v>2</v>
      </c>
      <c r="C31" s="13"/>
      <c r="D31" s="102" t="s">
        <v>104</v>
      </c>
      <c r="E31" s="102"/>
      <c r="F31" s="168"/>
      <c r="G31" s="169"/>
      <c r="H31" s="169"/>
      <c r="I31" s="100">
        <f>SUM(I32:I52)</f>
        <v>48387.869999999995</v>
      </c>
      <c r="J31" s="19"/>
    </row>
    <row r="32" spans="1:10" ht="19.5" customHeight="1">
      <c r="A32" s="26"/>
      <c r="B32" s="127" t="s">
        <v>24</v>
      </c>
      <c r="C32" s="140" t="s">
        <v>322</v>
      </c>
      <c r="D32" s="170" t="s">
        <v>323</v>
      </c>
      <c r="E32" s="142" t="s">
        <v>27</v>
      </c>
      <c r="F32" s="138">
        <v>17.28</v>
      </c>
      <c r="G32" s="138">
        <v>9.82</v>
      </c>
      <c r="H32" s="164">
        <f aca="true" t="shared" si="2" ref="H32:H63">ROUND(G32+(G32*$I$9),2)</f>
        <v>12.91</v>
      </c>
      <c r="I32" s="167">
        <f aca="true" t="shared" si="3" ref="I32:I52">ROUND((F32*H32),2)</f>
        <v>223.08</v>
      </c>
      <c r="J32" s="19"/>
    </row>
    <row r="33" spans="1:10" ht="25.5" customHeight="1">
      <c r="A33" s="26"/>
      <c r="B33" s="127" t="s">
        <v>26</v>
      </c>
      <c r="C33" s="140" t="s">
        <v>324</v>
      </c>
      <c r="D33" s="170" t="s">
        <v>325</v>
      </c>
      <c r="E33" s="142" t="s">
        <v>27</v>
      </c>
      <c r="F33" s="138">
        <v>11.13</v>
      </c>
      <c r="G33" s="138">
        <v>7.85</v>
      </c>
      <c r="H33" s="164">
        <f t="shared" si="2"/>
        <v>10.32</v>
      </c>
      <c r="I33" s="167">
        <f t="shared" si="3"/>
        <v>114.86</v>
      </c>
      <c r="J33" s="19"/>
    </row>
    <row r="34" spans="1:10" ht="26.25" customHeight="1">
      <c r="A34" s="26"/>
      <c r="B34" s="127" t="s">
        <v>155</v>
      </c>
      <c r="C34" s="140" t="s">
        <v>326</v>
      </c>
      <c r="D34" s="170" t="s">
        <v>327</v>
      </c>
      <c r="E34" s="142" t="s">
        <v>27</v>
      </c>
      <c r="F34" s="138">
        <f>58.05</f>
        <v>58.05</v>
      </c>
      <c r="G34" s="138">
        <v>10.93</v>
      </c>
      <c r="H34" s="164">
        <f t="shared" si="2"/>
        <v>14.37</v>
      </c>
      <c r="I34" s="167">
        <f t="shared" si="3"/>
        <v>834.18</v>
      </c>
      <c r="J34" s="19"/>
    </row>
    <row r="35" spans="1:10" ht="26.25" customHeight="1">
      <c r="A35" s="26"/>
      <c r="B35" s="127" t="s">
        <v>156</v>
      </c>
      <c r="C35" s="140" t="s">
        <v>328</v>
      </c>
      <c r="D35" s="170" t="s">
        <v>329</v>
      </c>
      <c r="E35" s="142" t="s">
        <v>27</v>
      </c>
      <c r="F35" s="138">
        <v>11.99</v>
      </c>
      <c r="G35" s="138">
        <v>10.93</v>
      </c>
      <c r="H35" s="164">
        <f t="shared" si="2"/>
        <v>14.37</v>
      </c>
      <c r="I35" s="167">
        <f t="shared" si="3"/>
        <v>172.3</v>
      </c>
      <c r="J35" s="19"/>
    </row>
    <row r="36" spans="1:10" ht="26.25" customHeight="1">
      <c r="A36" s="26"/>
      <c r="B36" s="127" t="s">
        <v>157</v>
      </c>
      <c r="C36" s="140" t="s">
        <v>330</v>
      </c>
      <c r="D36" s="170" t="s">
        <v>331</v>
      </c>
      <c r="E36" s="142" t="s">
        <v>25</v>
      </c>
      <c r="F36" s="138">
        <v>3.36</v>
      </c>
      <c r="G36" s="138">
        <v>181.19</v>
      </c>
      <c r="H36" s="164">
        <f t="shared" si="2"/>
        <v>238.23</v>
      </c>
      <c r="I36" s="167">
        <f t="shared" si="3"/>
        <v>800.45</v>
      </c>
      <c r="J36" s="19"/>
    </row>
    <row r="37" spans="1:10" ht="26.25" customHeight="1">
      <c r="A37" s="26"/>
      <c r="B37" s="127" t="s">
        <v>158</v>
      </c>
      <c r="C37" s="140" t="s">
        <v>332</v>
      </c>
      <c r="D37" s="170" t="s">
        <v>333</v>
      </c>
      <c r="E37" s="142" t="s">
        <v>27</v>
      </c>
      <c r="F37" s="138">
        <v>11.04</v>
      </c>
      <c r="G37" s="138">
        <v>9.76</v>
      </c>
      <c r="H37" s="164">
        <f t="shared" si="2"/>
        <v>12.83</v>
      </c>
      <c r="I37" s="167">
        <f t="shared" si="3"/>
        <v>141.64</v>
      </c>
      <c r="J37" s="19"/>
    </row>
    <row r="38" spans="1:10" ht="26.25" customHeight="1">
      <c r="A38" s="26"/>
      <c r="B38" s="127" t="s">
        <v>117</v>
      </c>
      <c r="C38" s="151" t="s">
        <v>334</v>
      </c>
      <c r="D38" s="143" t="s">
        <v>335</v>
      </c>
      <c r="E38" s="142" t="s">
        <v>27</v>
      </c>
      <c r="F38" s="138">
        <v>14.92</v>
      </c>
      <c r="G38" s="138">
        <v>76.66</v>
      </c>
      <c r="H38" s="164">
        <f t="shared" si="2"/>
        <v>100.79</v>
      </c>
      <c r="I38" s="167">
        <f t="shared" si="3"/>
        <v>1503.79</v>
      </c>
      <c r="J38" s="19"/>
    </row>
    <row r="39" spans="1:10" ht="19.5" customHeight="1">
      <c r="A39" s="26"/>
      <c r="B39" s="127" t="s">
        <v>159</v>
      </c>
      <c r="C39" s="140" t="s">
        <v>336</v>
      </c>
      <c r="D39" s="143" t="s">
        <v>337</v>
      </c>
      <c r="E39" s="142" t="s">
        <v>110</v>
      </c>
      <c r="F39" s="138">
        <v>16</v>
      </c>
      <c r="G39" s="138">
        <v>2.18</v>
      </c>
      <c r="H39" s="164">
        <f t="shared" si="2"/>
        <v>2.87</v>
      </c>
      <c r="I39" s="167">
        <f t="shared" si="3"/>
        <v>45.92</v>
      </c>
      <c r="J39" s="19"/>
    </row>
    <row r="40" spans="1:10" ht="19.5" customHeight="1">
      <c r="A40" s="26"/>
      <c r="B40" s="127" t="s">
        <v>160</v>
      </c>
      <c r="C40" s="151">
        <v>85416</v>
      </c>
      <c r="D40" s="143" t="s">
        <v>338</v>
      </c>
      <c r="E40" s="142" t="s">
        <v>110</v>
      </c>
      <c r="F40" s="138">
        <v>6</v>
      </c>
      <c r="G40" s="138">
        <v>10.84</v>
      </c>
      <c r="H40" s="164">
        <f t="shared" si="2"/>
        <v>14.25</v>
      </c>
      <c r="I40" s="167">
        <f t="shared" si="3"/>
        <v>85.5</v>
      </c>
      <c r="J40" s="19"/>
    </row>
    <row r="41" spans="1:10" ht="24.75" customHeight="1">
      <c r="A41" s="26"/>
      <c r="B41" s="127" t="s">
        <v>118</v>
      </c>
      <c r="C41" s="140" t="s">
        <v>115</v>
      </c>
      <c r="D41" s="141" t="s">
        <v>339</v>
      </c>
      <c r="E41" s="142" t="s">
        <v>25</v>
      </c>
      <c r="F41" s="138">
        <v>19.38</v>
      </c>
      <c r="G41" s="138">
        <v>1.54</v>
      </c>
      <c r="H41" s="164">
        <f t="shared" si="2"/>
        <v>2.02</v>
      </c>
      <c r="I41" s="167">
        <f t="shared" si="3"/>
        <v>39.15</v>
      </c>
      <c r="J41" s="19"/>
    </row>
    <row r="42" spans="1:10" ht="24.75" customHeight="1">
      <c r="A42" s="26"/>
      <c r="B42" s="127" t="s">
        <v>161</v>
      </c>
      <c r="C42" s="140" t="s">
        <v>340</v>
      </c>
      <c r="D42" s="143" t="s">
        <v>341</v>
      </c>
      <c r="E42" s="142" t="s">
        <v>25</v>
      </c>
      <c r="F42" s="138">
        <v>19.38</v>
      </c>
      <c r="G42" s="138">
        <v>17.49</v>
      </c>
      <c r="H42" s="164">
        <f t="shared" si="2"/>
        <v>23</v>
      </c>
      <c r="I42" s="167">
        <f t="shared" si="3"/>
        <v>445.74</v>
      </c>
      <c r="J42" s="19"/>
    </row>
    <row r="43" spans="1:10" ht="39" customHeight="1">
      <c r="A43" s="26"/>
      <c r="B43" s="127" t="s">
        <v>122</v>
      </c>
      <c r="C43" s="171" t="s">
        <v>111</v>
      </c>
      <c r="D43" s="129" t="s">
        <v>112</v>
      </c>
      <c r="E43" s="171" t="s">
        <v>113</v>
      </c>
      <c r="F43" s="138">
        <f>F42*5</f>
        <v>96.89999999999999</v>
      </c>
      <c r="G43" s="138">
        <v>3.34</v>
      </c>
      <c r="H43" s="164">
        <f t="shared" si="2"/>
        <v>4.39</v>
      </c>
      <c r="I43" s="167">
        <f t="shared" si="3"/>
        <v>425.39</v>
      </c>
      <c r="J43" s="19"/>
    </row>
    <row r="44" spans="1:10" ht="29.25" customHeight="1">
      <c r="A44" s="26"/>
      <c r="B44" s="127" t="s">
        <v>135</v>
      </c>
      <c r="C44" s="140" t="s">
        <v>137</v>
      </c>
      <c r="D44" s="129" t="s">
        <v>140</v>
      </c>
      <c r="E44" s="171" t="s">
        <v>110</v>
      </c>
      <c r="F44" s="138">
        <v>1</v>
      </c>
      <c r="G44" s="138">
        <v>809</v>
      </c>
      <c r="H44" s="164">
        <f t="shared" si="2"/>
        <v>1063.67</v>
      </c>
      <c r="I44" s="167">
        <f t="shared" si="3"/>
        <v>1063.67</v>
      </c>
      <c r="J44" s="19"/>
    </row>
    <row r="45" spans="1:10" ht="18" customHeight="1">
      <c r="A45" s="26"/>
      <c r="B45" s="127" t="s">
        <v>136</v>
      </c>
      <c r="C45" s="140" t="s">
        <v>138</v>
      </c>
      <c r="D45" s="129" t="s">
        <v>141</v>
      </c>
      <c r="E45" s="171" t="s">
        <v>28</v>
      </c>
      <c r="F45" s="138">
        <v>60</v>
      </c>
      <c r="G45" s="138">
        <v>75.62</v>
      </c>
      <c r="H45" s="164">
        <f t="shared" si="2"/>
        <v>99.43</v>
      </c>
      <c r="I45" s="167">
        <f t="shared" si="3"/>
        <v>5965.8</v>
      </c>
      <c r="J45" s="19"/>
    </row>
    <row r="46" spans="1:10" ht="29.25" customHeight="1">
      <c r="A46" s="26"/>
      <c r="B46" s="127" t="s">
        <v>342</v>
      </c>
      <c r="C46" s="140" t="s">
        <v>139</v>
      </c>
      <c r="D46" s="129" t="s">
        <v>142</v>
      </c>
      <c r="E46" s="171" t="s">
        <v>110</v>
      </c>
      <c r="F46" s="138">
        <v>3</v>
      </c>
      <c r="G46" s="138">
        <v>160</v>
      </c>
      <c r="H46" s="164">
        <f t="shared" si="2"/>
        <v>210.37</v>
      </c>
      <c r="I46" s="167">
        <f t="shared" si="3"/>
        <v>631.11</v>
      </c>
      <c r="J46" s="19"/>
    </row>
    <row r="47" spans="1:10" ht="19.5" customHeight="1">
      <c r="A47" s="26"/>
      <c r="B47" s="127" t="s">
        <v>343</v>
      </c>
      <c r="C47" s="134" t="s">
        <v>134</v>
      </c>
      <c r="D47" s="143" t="s">
        <v>133</v>
      </c>
      <c r="E47" s="172" t="s">
        <v>126</v>
      </c>
      <c r="F47" s="138">
        <v>7</v>
      </c>
      <c r="G47" s="138">
        <v>1301.74</v>
      </c>
      <c r="H47" s="164">
        <f t="shared" si="2"/>
        <v>1711.53</v>
      </c>
      <c r="I47" s="167">
        <f t="shared" si="3"/>
        <v>11980.71</v>
      </c>
      <c r="J47" s="19"/>
    </row>
    <row r="48" spans="1:10" ht="19.5" customHeight="1">
      <c r="A48" s="26"/>
      <c r="B48" s="127" t="s">
        <v>344</v>
      </c>
      <c r="C48" s="134" t="s">
        <v>345</v>
      </c>
      <c r="D48" s="143" t="s">
        <v>346</v>
      </c>
      <c r="E48" s="172" t="s">
        <v>126</v>
      </c>
      <c r="F48" s="138">
        <v>2</v>
      </c>
      <c r="G48" s="138">
        <v>1430.17</v>
      </c>
      <c r="H48" s="164">
        <f t="shared" si="2"/>
        <v>1880.39</v>
      </c>
      <c r="I48" s="167">
        <f t="shared" si="3"/>
        <v>3760.78</v>
      </c>
      <c r="J48" s="19"/>
    </row>
    <row r="49" spans="1:10" ht="19.5" customHeight="1">
      <c r="A49" s="26"/>
      <c r="B49" s="127" t="s">
        <v>347</v>
      </c>
      <c r="C49" s="134" t="s">
        <v>130</v>
      </c>
      <c r="D49" s="144" t="s">
        <v>125</v>
      </c>
      <c r="E49" s="172" t="s">
        <v>126</v>
      </c>
      <c r="F49" s="145">
        <v>1</v>
      </c>
      <c r="G49" s="138">
        <v>1483.57</v>
      </c>
      <c r="H49" s="164">
        <f t="shared" si="2"/>
        <v>1950.6</v>
      </c>
      <c r="I49" s="167">
        <f t="shared" si="3"/>
        <v>1950.6</v>
      </c>
      <c r="J49" s="19"/>
    </row>
    <row r="50" spans="1:10" ht="19.5" customHeight="1">
      <c r="A50" s="26"/>
      <c r="B50" s="127" t="s">
        <v>348</v>
      </c>
      <c r="C50" s="134" t="s">
        <v>131</v>
      </c>
      <c r="D50" s="144" t="s">
        <v>127</v>
      </c>
      <c r="E50" s="172" t="s">
        <v>128</v>
      </c>
      <c r="F50" s="145">
        <v>2251</v>
      </c>
      <c r="G50" s="138">
        <v>2.76</v>
      </c>
      <c r="H50" s="164">
        <f t="shared" si="2"/>
        <v>3.63</v>
      </c>
      <c r="I50" s="167">
        <f t="shared" si="3"/>
        <v>8171.13</v>
      </c>
      <c r="J50" s="19"/>
    </row>
    <row r="51" spans="1:10" ht="19.5" customHeight="1">
      <c r="A51" s="26"/>
      <c r="B51" s="127" t="s">
        <v>349</v>
      </c>
      <c r="C51" s="134" t="s">
        <v>132</v>
      </c>
      <c r="D51" s="144" t="s">
        <v>129</v>
      </c>
      <c r="E51" s="172" t="s">
        <v>126</v>
      </c>
      <c r="F51" s="145">
        <v>2</v>
      </c>
      <c r="G51" s="138">
        <v>1082.37</v>
      </c>
      <c r="H51" s="164">
        <f t="shared" si="2"/>
        <v>1423.1</v>
      </c>
      <c r="I51" s="167">
        <f t="shared" si="3"/>
        <v>2846.2</v>
      </c>
      <c r="J51" s="19"/>
    </row>
    <row r="52" spans="1:10" ht="19.5" customHeight="1">
      <c r="A52" s="26"/>
      <c r="B52" s="127" t="s">
        <v>350</v>
      </c>
      <c r="C52" s="134" t="s">
        <v>143</v>
      </c>
      <c r="D52" s="144" t="s">
        <v>145</v>
      </c>
      <c r="E52" s="130" t="s">
        <v>144</v>
      </c>
      <c r="F52" s="145">
        <v>819.37</v>
      </c>
      <c r="G52" s="138">
        <v>6.67</v>
      </c>
      <c r="H52" s="164">
        <f t="shared" si="2"/>
        <v>8.77</v>
      </c>
      <c r="I52" s="167">
        <f t="shared" si="3"/>
        <v>7185.87</v>
      </c>
      <c r="J52" s="19"/>
    </row>
    <row r="53" spans="1:10" ht="15" customHeight="1">
      <c r="A53" s="26"/>
      <c r="B53" s="91">
        <v>3</v>
      </c>
      <c r="C53" s="13"/>
      <c r="D53" s="102" t="s">
        <v>351</v>
      </c>
      <c r="E53" s="102"/>
      <c r="F53" s="168"/>
      <c r="G53" s="169"/>
      <c r="H53" s="169">
        <f t="shared" si="2"/>
        <v>0</v>
      </c>
      <c r="I53" s="100">
        <f>SUM(I54:I58)</f>
        <v>3512.56</v>
      </c>
      <c r="J53" s="19"/>
    </row>
    <row r="54" spans="1:10" ht="27" customHeight="1">
      <c r="A54" s="26"/>
      <c r="B54" s="127" t="s">
        <v>162</v>
      </c>
      <c r="C54" s="140" t="s">
        <v>150</v>
      </c>
      <c r="D54" s="173" t="s">
        <v>352</v>
      </c>
      <c r="E54" s="174" t="s">
        <v>25</v>
      </c>
      <c r="F54" s="175">
        <f>5*10*2</f>
        <v>100</v>
      </c>
      <c r="G54" s="138">
        <v>3.18</v>
      </c>
      <c r="H54" s="164">
        <f t="shared" si="2"/>
        <v>4.18</v>
      </c>
      <c r="I54" s="167">
        <f>ROUND((F54*H54),2)</f>
        <v>418</v>
      </c>
      <c r="J54" s="19"/>
    </row>
    <row r="55" spans="1:10" ht="21.75" customHeight="1">
      <c r="A55" s="26"/>
      <c r="B55" s="127" t="s">
        <v>353</v>
      </c>
      <c r="C55" s="140" t="s">
        <v>354</v>
      </c>
      <c r="D55" s="173" t="s">
        <v>355</v>
      </c>
      <c r="E55" s="174" t="s">
        <v>25</v>
      </c>
      <c r="F55" s="175">
        <f>15.69+24</f>
        <v>39.69</v>
      </c>
      <c r="G55" s="138">
        <v>41.58</v>
      </c>
      <c r="H55" s="164">
        <f t="shared" si="2"/>
        <v>54.67</v>
      </c>
      <c r="I55" s="167">
        <f>ROUND((F55*H55),2)</f>
        <v>2169.85</v>
      </c>
      <c r="J55" s="19"/>
    </row>
    <row r="56" spans="1:10" ht="27" customHeight="1">
      <c r="A56" s="26"/>
      <c r="B56" s="127" t="s">
        <v>356</v>
      </c>
      <c r="C56" s="140" t="s">
        <v>151</v>
      </c>
      <c r="D56" s="146" t="s">
        <v>357</v>
      </c>
      <c r="E56" s="147" t="s">
        <v>25</v>
      </c>
      <c r="F56" s="175">
        <f>5*10*2</f>
        <v>100</v>
      </c>
      <c r="G56" s="132">
        <v>1.5</v>
      </c>
      <c r="H56" s="132">
        <f t="shared" si="2"/>
        <v>1.97</v>
      </c>
      <c r="I56" s="133">
        <f>ROUND((F56*H56),2)</f>
        <v>197</v>
      </c>
      <c r="J56" s="19"/>
    </row>
    <row r="57" spans="1:10" ht="27" customHeight="1">
      <c r="A57" s="26"/>
      <c r="B57" s="127" t="s">
        <v>358</v>
      </c>
      <c r="C57" s="140" t="s">
        <v>152</v>
      </c>
      <c r="D57" s="146" t="s">
        <v>359</v>
      </c>
      <c r="E57" s="147" t="s">
        <v>360</v>
      </c>
      <c r="F57" s="148">
        <v>500</v>
      </c>
      <c r="G57" s="132">
        <v>1.05</v>
      </c>
      <c r="H57" s="132">
        <f t="shared" si="2"/>
        <v>1.38</v>
      </c>
      <c r="I57" s="133">
        <f>ROUND((F57*H57),2)</f>
        <v>690</v>
      </c>
      <c r="J57" s="19"/>
    </row>
    <row r="58" spans="1:10" ht="18.75" customHeight="1">
      <c r="A58" s="26"/>
      <c r="B58" s="127" t="s">
        <v>361</v>
      </c>
      <c r="C58" s="140" t="s">
        <v>362</v>
      </c>
      <c r="D58" s="146" t="s">
        <v>363</v>
      </c>
      <c r="E58" s="147" t="s">
        <v>25</v>
      </c>
      <c r="F58" s="148">
        <v>9</v>
      </c>
      <c r="G58" s="132">
        <v>3.19</v>
      </c>
      <c r="H58" s="132">
        <f t="shared" si="2"/>
        <v>4.19</v>
      </c>
      <c r="I58" s="133">
        <f>ROUND((F58*H58),2)</f>
        <v>37.71</v>
      </c>
      <c r="J58" s="19"/>
    </row>
    <row r="59" spans="1:10" ht="15" customHeight="1">
      <c r="A59" s="26"/>
      <c r="B59" s="91">
        <v>4</v>
      </c>
      <c r="C59" s="176"/>
      <c r="D59" s="102" t="s">
        <v>364</v>
      </c>
      <c r="E59" s="176" t="s">
        <v>89</v>
      </c>
      <c r="F59" s="177"/>
      <c r="G59" s="178"/>
      <c r="H59" s="178">
        <f t="shared" si="2"/>
        <v>0</v>
      </c>
      <c r="I59" s="100">
        <f>SUM(I61:I77)</f>
        <v>395866.63999999996</v>
      </c>
      <c r="J59" s="19"/>
    </row>
    <row r="60" spans="1:10" ht="22.5" customHeight="1">
      <c r="A60" s="26"/>
      <c r="B60" s="179" t="s">
        <v>91</v>
      </c>
      <c r="C60" s="180"/>
      <c r="D60" s="92" t="s">
        <v>365</v>
      </c>
      <c r="E60" s="93" t="s">
        <v>89</v>
      </c>
      <c r="F60" s="94"/>
      <c r="G60" s="181"/>
      <c r="H60" s="181">
        <f t="shared" si="2"/>
        <v>0</v>
      </c>
      <c r="I60" s="182">
        <f aca="true" t="shared" si="4" ref="I60:I77">ROUND((F60*H60),2)</f>
        <v>0</v>
      </c>
      <c r="J60" s="19"/>
    </row>
    <row r="61" spans="1:10" ht="18" customHeight="1">
      <c r="A61" s="26"/>
      <c r="B61" s="127" t="s">
        <v>366</v>
      </c>
      <c r="C61" s="140" t="s">
        <v>367</v>
      </c>
      <c r="D61" s="173" t="s">
        <v>368</v>
      </c>
      <c r="E61" s="174" t="s">
        <v>25</v>
      </c>
      <c r="F61" s="148">
        <f>175.92+8.79+12.42+3.38+2.63</f>
        <v>203.13999999999996</v>
      </c>
      <c r="G61" s="132">
        <v>34.98</v>
      </c>
      <c r="H61" s="164">
        <f t="shared" si="2"/>
        <v>45.99</v>
      </c>
      <c r="I61" s="167">
        <f t="shared" si="4"/>
        <v>9342.41</v>
      </c>
      <c r="J61" s="19"/>
    </row>
    <row r="62" spans="1:10" ht="26.25" customHeight="1">
      <c r="A62" s="26"/>
      <c r="B62" s="127" t="s">
        <v>369</v>
      </c>
      <c r="C62" s="140" t="s">
        <v>114</v>
      </c>
      <c r="D62" s="173" t="s">
        <v>370</v>
      </c>
      <c r="E62" s="174" t="s">
        <v>25</v>
      </c>
      <c r="F62" s="148">
        <f>103.48+10.36+2.08</f>
        <v>115.92</v>
      </c>
      <c r="G62" s="132">
        <v>16.51</v>
      </c>
      <c r="H62" s="164">
        <f t="shared" si="2"/>
        <v>21.71</v>
      </c>
      <c r="I62" s="167">
        <f t="shared" si="4"/>
        <v>2516.62</v>
      </c>
      <c r="J62" s="19"/>
    </row>
    <row r="63" spans="1:10" ht="26.25" customHeight="1">
      <c r="A63" s="26"/>
      <c r="B63" s="127" t="s">
        <v>371</v>
      </c>
      <c r="C63" s="140" t="s">
        <v>372</v>
      </c>
      <c r="D63" s="173" t="s">
        <v>373</v>
      </c>
      <c r="E63" s="174" t="s">
        <v>27</v>
      </c>
      <c r="F63" s="148">
        <f>219.53+19.33</f>
        <v>238.86</v>
      </c>
      <c r="G63" s="132">
        <v>2.18</v>
      </c>
      <c r="H63" s="164">
        <f t="shared" si="2"/>
        <v>2.87</v>
      </c>
      <c r="I63" s="167">
        <f t="shared" si="4"/>
        <v>685.53</v>
      </c>
      <c r="J63" s="19"/>
    </row>
    <row r="64" spans="1:10" ht="19.5" customHeight="1">
      <c r="A64" s="26"/>
      <c r="B64" s="127" t="s">
        <v>374</v>
      </c>
      <c r="C64" s="140" t="s">
        <v>375</v>
      </c>
      <c r="D64" s="143" t="s">
        <v>376</v>
      </c>
      <c r="E64" s="174" t="s">
        <v>25</v>
      </c>
      <c r="F64" s="148">
        <f>10.98+0.97</f>
        <v>11.950000000000001</v>
      </c>
      <c r="G64" s="132">
        <v>77.56</v>
      </c>
      <c r="H64" s="164">
        <f aca="true" t="shared" si="5" ref="H64:H95">ROUND(G64+(G64*$I$9),2)</f>
        <v>101.98</v>
      </c>
      <c r="I64" s="167">
        <f t="shared" si="4"/>
        <v>1218.66</v>
      </c>
      <c r="J64" s="19"/>
    </row>
    <row r="65" spans="1:10" ht="39" customHeight="1">
      <c r="A65" s="26"/>
      <c r="B65" s="127" t="s">
        <v>377</v>
      </c>
      <c r="C65" s="140" t="s">
        <v>378</v>
      </c>
      <c r="D65" s="143" t="s">
        <v>379</v>
      </c>
      <c r="E65" s="174" t="s">
        <v>27</v>
      </c>
      <c r="F65" s="148">
        <f>317.23+596.91+149.23</f>
        <v>1063.37</v>
      </c>
      <c r="G65" s="132">
        <v>59.39</v>
      </c>
      <c r="H65" s="164">
        <f t="shared" si="5"/>
        <v>78.09</v>
      </c>
      <c r="I65" s="167">
        <f t="shared" si="4"/>
        <v>83038.56</v>
      </c>
      <c r="J65" s="19"/>
    </row>
    <row r="66" spans="1:10" ht="29.25" customHeight="1">
      <c r="A66" s="26"/>
      <c r="B66" s="127" t="s">
        <v>380</v>
      </c>
      <c r="C66" s="140" t="s">
        <v>300</v>
      </c>
      <c r="D66" s="173" t="s">
        <v>301</v>
      </c>
      <c r="E66" s="174" t="s">
        <v>90</v>
      </c>
      <c r="F66" s="148">
        <v>7764.25</v>
      </c>
      <c r="G66" s="132">
        <v>6.8</v>
      </c>
      <c r="H66" s="164">
        <f t="shared" si="5"/>
        <v>8.94</v>
      </c>
      <c r="I66" s="167">
        <f t="shared" si="4"/>
        <v>69412.4</v>
      </c>
      <c r="J66" s="19"/>
    </row>
    <row r="67" spans="1:10" ht="15" customHeight="1">
      <c r="A67" s="26"/>
      <c r="B67" s="127" t="s">
        <v>381</v>
      </c>
      <c r="C67" s="140" t="s">
        <v>382</v>
      </c>
      <c r="D67" s="173" t="s">
        <v>383</v>
      </c>
      <c r="E67" s="174" t="s">
        <v>25</v>
      </c>
      <c r="F67" s="148">
        <f>72.43+30.3+14</f>
        <v>116.73</v>
      </c>
      <c r="G67" s="132">
        <v>345.58</v>
      </c>
      <c r="H67" s="164">
        <f t="shared" si="5"/>
        <v>454.37</v>
      </c>
      <c r="I67" s="167">
        <f t="shared" si="4"/>
        <v>53038.61</v>
      </c>
      <c r="J67" s="19"/>
    </row>
    <row r="68" spans="1:10" ht="26.25" customHeight="1">
      <c r="A68" s="26"/>
      <c r="B68" s="127" t="s">
        <v>384</v>
      </c>
      <c r="C68" s="140" t="s">
        <v>385</v>
      </c>
      <c r="D68" s="173" t="s">
        <v>386</v>
      </c>
      <c r="E68" s="174" t="s">
        <v>27</v>
      </c>
      <c r="F68" s="148">
        <f>134.66+148.83</f>
        <v>283.49</v>
      </c>
      <c r="G68" s="132">
        <v>11.57</v>
      </c>
      <c r="H68" s="164">
        <f t="shared" si="5"/>
        <v>15.21</v>
      </c>
      <c r="I68" s="167">
        <f t="shared" si="4"/>
        <v>4311.88</v>
      </c>
      <c r="J68" s="19"/>
    </row>
    <row r="69" spans="1:10" ht="19.5" customHeight="1">
      <c r="A69" s="26"/>
      <c r="B69" s="127" t="s">
        <v>387</v>
      </c>
      <c r="C69" s="140" t="s">
        <v>388</v>
      </c>
      <c r="D69" s="173" t="s">
        <v>389</v>
      </c>
      <c r="E69" s="174" t="s">
        <v>28</v>
      </c>
      <c r="F69" s="148">
        <v>15</v>
      </c>
      <c r="G69" s="132">
        <v>33.1</v>
      </c>
      <c r="H69" s="164">
        <f t="shared" si="5"/>
        <v>43.52</v>
      </c>
      <c r="I69" s="167">
        <f t="shared" si="4"/>
        <v>652.8</v>
      </c>
      <c r="J69" s="19"/>
    </row>
    <row r="70" spans="1:10" ht="20.25" customHeight="1">
      <c r="A70" s="26"/>
      <c r="B70" s="127" t="s">
        <v>390</v>
      </c>
      <c r="C70" s="140" t="s">
        <v>302</v>
      </c>
      <c r="D70" s="173" t="s">
        <v>303</v>
      </c>
      <c r="E70" s="174" t="s">
        <v>27</v>
      </c>
      <c r="F70" s="148">
        <v>37.95</v>
      </c>
      <c r="G70" s="132">
        <v>12.98</v>
      </c>
      <c r="H70" s="164">
        <f t="shared" si="5"/>
        <v>17.07</v>
      </c>
      <c r="I70" s="167">
        <f t="shared" si="4"/>
        <v>647.81</v>
      </c>
      <c r="J70" s="19"/>
    </row>
    <row r="71" spans="1:10" ht="26.25" customHeight="1">
      <c r="A71" s="26"/>
      <c r="B71" s="127" t="s">
        <v>391</v>
      </c>
      <c r="C71" s="140" t="s">
        <v>304</v>
      </c>
      <c r="D71" s="173" t="s">
        <v>305</v>
      </c>
      <c r="E71" s="174" t="s">
        <v>25</v>
      </c>
      <c r="F71" s="148">
        <v>3.6</v>
      </c>
      <c r="G71" s="132">
        <v>94.85</v>
      </c>
      <c r="H71" s="164">
        <f t="shared" si="5"/>
        <v>124.71</v>
      </c>
      <c r="I71" s="167">
        <f t="shared" si="4"/>
        <v>448.96</v>
      </c>
      <c r="J71" s="19"/>
    </row>
    <row r="72" spans="1:10" ht="26.25" customHeight="1">
      <c r="A72" s="26"/>
      <c r="B72" s="127" t="s">
        <v>392</v>
      </c>
      <c r="C72" s="140" t="s">
        <v>306</v>
      </c>
      <c r="D72" s="173" t="s">
        <v>307</v>
      </c>
      <c r="E72" s="174" t="s">
        <v>25</v>
      </c>
      <c r="F72" s="148">
        <v>3.53</v>
      </c>
      <c r="G72" s="132">
        <v>85.32</v>
      </c>
      <c r="H72" s="164">
        <f t="shared" si="5"/>
        <v>112.18</v>
      </c>
      <c r="I72" s="167">
        <f t="shared" si="4"/>
        <v>396</v>
      </c>
      <c r="J72" s="19"/>
    </row>
    <row r="73" spans="1:10" ht="15" customHeight="1">
      <c r="A73" s="26"/>
      <c r="B73" s="179" t="s">
        <v>92</v>
      </c>
      <c r="C73" s="101"/>
      <c r="D73" s="92" t="s">
        <v>393</v>
      </c>
      <c r="E73" s="93" t="s">
        <v>89</v>
      </c>
      <c r="F73" s="94"/>
      <c r="G73" s="99"/>
      <c r="H73" s="99">
        <f t="shared" si="5"/>
        <v>0</v>
      </c>
      <c r="I73" s="103">
        <f t="shared" si="4"/>
        <v>0</v>
      </c>
      <c r="J73" s="19"/>
    </row>
    <row r="74" spans="1:10" ht="19.5" customHeight="1">
      <c r="A74" s="26"/>
      <c r="B74" s="127" t="s">
        <v>394</v>
      </c>
      <c r="C74" s="137" t="s">
        <v>395</v>
      </c>
      <c r="D74" s="173" t="s">
        <v>396</v>
      </c>
      <c r="E74" s="174" t="s">
        <v>27</v>
      </c>
      <c r="F74" s="148">
        <v>596.91</v>
      </c>
      <c r="G74" s="132">
        <v>53.78</v>
      </c>
      <c r="H74" s="164">
        <f t="shared" si="5"/>
        <v>70.71</v>
      </c>
      <c r="I74" s="167">
        <f t="shared" si="4"/>
        <v>42207.51</v>
      </c>
      <c r="J74" s="19"/>
    </row>
    <row r="75" spans="1:10" ht="20.25" customHeight="1">
      <c r="A75" s="26"/>
      <c r="B75" s="127" t="s">
        <v>397</v>
      </c>
      <c r="C75" s="140" t="s">
        <v>300</v>
      </c>
      <c r="D75" s="173" t="s">
        <v>398</v>
      </c>
      <c r="E75" s="174" t="s">
        <v>90</v>
      </c>
      <c r="F75" s="148">
        <v>3029.75</v>
      </c>
      <c r="G75" s="132">
        <v>6.8</v>
      </c>
      <c r="H75" s="164">
        <f t="shared" si="5"/>
        <v>8.94</v>
      </c>
      <c r="I75" s="167">
        <f t="shared" si="4"/>
        <v>27085.97</v>
      </c>
      <c r="J75" s="19"/>
    </row>
    <row r="76" spans="1:10" ht="20.25" customHeight="1">
      <c r="A76" s="26"/>
      <c r="B76" s="127" t="s">
        <v>399</v>
      </c>
      <c r="C76" s="140" t="s">
        <v>382</v>
      </c>
      <c r="D76" s="173" t="s">
        <v>383</v>
      </c>
      <c r="E76" s="174" t="s">
        <v>25</v>
      </c>
      <c r="F76" s="148">
        <v>30.3</v>
      </c>
      <c r="G76" s="132">
        <v>345.58</v>
      </c>
      <c r="H76" s="164">
        <f t="shared" si="5"/>
        <v>454.37</v>
      </c>
      <c r="I76" s="167">
        <f t="shared" si="4"/>
        <v>13767.41</v>
      </c>
      <c r="J76" s="19"/>
    </row>
    <row r="77" spans="1:10" ht="54.75" customHeight="1">
      <c r="A77" s="26"/>
      <c r="B77" s="127" t="s">
        <v>400</v>
      </c>
      <c r="C77" s="183" t="s">
        <v>401</v>
      </c>
      <c r="D77" s="173" t="s">
        <v>402</v>
      </c>
      <c r="E77" s="174" t="s">
        <v>27</v>
      </c>
      <c r="F77" s="148">
        <v>639.28</v>
      </c>
      <c r="G77" s="132">
        <v>103.62</v>
      </c>
      <c r="H77" s="164">
        <f t="shared" si="5"/>
        <v>136.24</v>
      </c>
      <c r="I77" s="167">
        <f t="shared" si="4"/>
        <v>87095.51</v>
      </c>
      <c r="J77" s="19"/>
    </row>
    <row r="78" spans="1:10" ht="15" customHeight="1">
      <c r="A78" s="26"/>
      <c r="B78" s="184">
        <v>5</v>
      </c>
      <c r="C78" s="185"/>
      <c r="D78" s="102" t="s">
        <v>153</v>
      </c>
      <c r="E78" s="102" t="s">
        <v>89</v>
      </c>
      <c r="F78" s="186"/>
      <c r="G78" s="169"/>
      <c r="H78" s="169">
        <f t="shared" si="5"/>
        <v>0</v>
      </c>
      <c r="I78" s="100">
        <f>SUM(I80:I92)</f>
        <v>109053.70999999999</v>
      </c>
      <c r="J78" s="19"/>
    </row>
    <row r="79" spans="1:10" ht="15" customHeight="1">
      <c r="A79" s="26"/>
      <c r="B79" s="179" t="s">
        <v>93</v>
      </c>
      <c r="C79" s="180"/>
      <c r="D79" s="92" t="s">
        <v>403</v>
      </c>
      <c r="E79" s="187" t="s">
        <v>89</v>
      </c>
      <c r="F79" s="188"/>
      <c r="G79" s="181"/>
      <c r="H79" s="181">
        <f t="shared" si="5"/>
        <v>0</v>
      </c>
      <c r="I79" s="182">
        <f aca="true" t="shared" si="6" ref="I79:I92">ROUND((F79*H79),2)</f>
        <v>0</v>
      </c>
      <c r="J79" s="19"/>
    </row>
    <row r="80" spans="1:10" ht="42.75" customHeight="1">
      <c r="A80" s="26"/>
      <c r="B80" s="127" t="s">
        <v>310</v>
      </c>
      <c r="C80" s="140" t="s">
        <v>404</v>
      </c>
      <c r="D80" s="173" t="s">
        <v>405</v>
      </c>
      <c r="E80" s="174" t="s">
        <v>27</v>
      </c>
      <c r="F80" s="148">
        <f>747.32+2.69+32.13</f>
        <v>782.1400000000001</v>
      </c>
      <c r="G80" s="132">
        <v>35.86</v>
      </c>
      <c r="H80" s="164">
        <f t="shared" si="5"/>
        <v>47.15</v>
      </c>
      <c r="I80" s="167">
        <f t="shared" si="6"/>
        <v>36877.9</v>
      </c>
      <c r="J80" s="19"/>
    </row>
    <row r="81" spans="1:10" ht="39" customHeight="1">
      <c r="A81" s="26"/>
      <c r="B81" s="127" t="s">
        <v>311</v>
      </c>
      <c r="C81" s="140" t="s">
        <v>406</v>
      </c>
      <c r="D81" s="173" t="s">
        <v>407</v>
      </c>
      <c r="E81" s="174" t="s">
        <v>27</v>
      </c>
      <c r="F81" s="148">
        <v>7.41</v>
      </c>
      <c r="G81" s="132">
        <v>44.31</v>
      </c>
      <c r="H81" s="164">
        <f t="shared" si="5"/>
        <v>58.26</v>
      </c>
      <c r="I81" s="167">
        <f t="shared" si="6"/>
        <v>431.71</v>
      </c>
      <c r="J81" s="19"/>
    </row>
    <row r="82" spans="1:10" ht="20.25" customHeight="1">
      <c r="A82" s="26"/>
      <c r="B82" s="127" t="s">
        <v>256</v>
      </c>
      <c r="C82" s="183" t="s">
        <v>408</v>
      </c>
      <c r="D82" s="173" t="s">
        <v>409</v>
      </c>
      <c r="E82" s="174" t="s">
        <v>27</v>
      </c>
      <c r="F82" s="148">
        <v>20.57</v>
      </c>
      <c r="G82" s="132">
        <v>525.96</v>
      </c>
      <c r="H82" s="164">
        <f t="shared" si="5"/>
        <v>691.53</v>
      </c>
      <c r="I82" s="167">
        <f t="shared" si="6"/>
        <v>14224.77</v>
      </c>
      <c r="J82" s="19"/>
    </row>
    <row r="83" spans="1:10" ht="27" customHeight="1">
      <c r="A83" s="26"/>
      <c r="B83" s="127" t="s">
        <v>410</v>
      </c>
      <c r="C83" s="183" t="s">
        <v>411</v>
      </c>
      <c r="D83" s="189" t="s">
        <v>412</v>
      </c>
      <c r="E83" s="174" t="s">
        <v>27</v>
      </c>
      <c r="F83" s="148">
        <v>31.59</v>
      </c>
      <c r="G83" s="132">
        <v>92.34</v>
      </c>
      <c r="H83" s="164">
        <f t="shared" si="5"/>
        <v>121.41</v>
      </c>
      <c r="I83" s="167">
        <f t="shared" si="6"/>
        <v>3835.34</v>
      </c>
      <c r="J83" s="19"/>
    </row>
    <row r="84" spans="1:10" ht="23.25" customHeight="1">
      <c r="A84" s="26"/>
      <c r="B84" s="127" t="s">
        <v>413</v>
      </c>
      <c r="C84" s="140" t="s">
        <v>414</v>
      </c>
      <c r="D84" s="190" t="s">
        <v>415</v>
      </c>
      <c r="E84" s="130" t="s">
        <v>154</v>
      </c>
      <c r="F84" s="148">
        <v>3</v>
      </c>
      <c r="G84" s="132">
        <v>100</v>
      </c>
      <c r="H84" s="164">
        <f t="shared" si="5"/>
        <v>131.48</v>
      </c>
      <c r="I84" s="167">
        <f t="shared" si="6"/>
        <v>394.44</v>
      </c>
      <c r="J84" s="19"/>
    </row>
    <row r="85" spans="1:10" ht="18" customHeight="1">
      <c r="A85" s="26"/>
      <c r="B85" s="127" t="s">
        <v>416</v>
      </c>
      <c r="C85" s="137" t="s">
        <v>417</v>
      </c>
      <c r="D85" s="190" t="s">
        <v>418</v>
      </c>
      <c r="E85" s="130" t="s">
        <v>198</v>
      </c>
      <c r="F85" s="148">
        <v>92.35</v>
      </c>
      <c r="G85" s="132">
        <v>32.8</v>
      </c>
      <c r="H85" s="164">
        <f t="shared" si="5"/>
        <v>43.13</v>
      </c>
      <c r="I85" s="167">
        <f t="shared" si="6"/>
        <v>3983.06</v>
      </c>
      <c r="J85" s="19"/>
    </row>
    <row r="86" spans="1:10" ht="15" customHeight="1">
      <c r="A86" s="26"/>
      <c r="B86" s="179" t="s">
        <v>257</v>
      </c>
      <c r="C86" s="180"/>
      <c r="D86" s="92" t="s">
        <v>419</v>
      </c>
      <c r="E86" s="93" t="s">
        <v>89</v>
      </c>
      <c r="F86" s="188"/>
      <c r="G86" s="181"/>
      <c r="H86" s="181">
        <f t="shared" si="5"/>
        <v>0</v>
      </c>
      <c r="I86" s="182">
        <f t="shared" si="6"/>
        <v>0</v>
      </c>
      <c r="J86" s="19"/>
    </row>
    <row r="87" spans="1:10" s="193" customFormat="1" ht="27.75" customHeight="1">
      <c r="A87" s="191"/>
      <c r="B87" s="127" t="s">
        <v>258</v>
      </c>
      <c r="C87" s="140" t="s">
        <v>420</v>
      </c>
      <c r="D87" s="143" t="s">
        <v>421</v>
      </c>
      <c r="E87" s="174" t="s">
        <v>178</v>
      </c>
      <c r="F87" s="148">
        <v>17</v>
      </c>
      <c r="G87" s="132">
        <v>611.17</v>
      </c>
      <c r="H87" s="164">
        <f t="shared" si="5"/>
        <v>803.57</v>
      </c>
      <c r="I87" s="167">
        <f t="shared" si="6"/>
        <v>13660.69</v>
      </c>
      <c r="J87" s="192"/>
    </row>
    <row r="88" spans="1:10" ht="27.75" customHeight="1">
      <c r="A88" s="26"/>
      <c r="B88" s="127" t="s">
        <v>259</v>
      </c>
      <c r="C88" s="140" t="s">
        <v>422</v>
      </c>
      <c r="D88" s="143" t="s">
        <v>423</v>
      </c>
      <c r="E88" s="174" t="s">
        <v>178</v>
      </c>
      <c r="F88" s="194">
        <v>14</v>
      </c>
      <c r="G88" s="195">
        <v>395.4</v>
      </c>
      <c r="H88" s="196">
        <f t="shared" si="5"/>
        <v>519.87</v>
      </c>
      <c r="I88" s="197">
        <f t="shared" si="6"/>
        <v>7278.18</v>
      </c>
      <c r="J88" s="19"/>
    </row>
    <row r="89" spans="1:10" ht="16.5" customHeight="1">
      <c r="A89" s="26"/>
      <c r="B89" s="127" t="s">
        <v>424</v>
      </c>
      <c r="C89" s="137" t="s">
        <v>425</v>
      </c>
      <c r="D89" s="198" t="s">
        <v>426</v>
      </c>
      <c r="E89" s="174" t="s">
        <v>178</v>
      </c>
      <c r="F89" s="194">
        <v>8</v>
      </c>
      <c r="G89" s="195">
        <v>369.24</v>
      </c>
      <c r="H89" s="196">
        <f t="shared" si="5"/>
        <v>485.48</v>
      </c>
      <c r="I89" s="197">
        <f t="shared" si="6"/>
        <v>3883.84</v>
      </c>
      <c r="J89" s="19"/>
    </row>
    <row r="90" spans="1:10" ht="28.5" customHeight="1">
      <c r="A90" s="26"/>
      <c r="B90" s="127" t="s">
        <v>427</v>
      </c>
      <c r="C90" s="183" t="s">
        <v>428</v>
      </c>
      <c r="D90" s="199" t="s">
        <v>429</v>
      </c>
      <c r="E90" s="174" t="s">
        <v>27</v>
      </c>
      <c r="F90" s="194">
        <v>30.96</v>
      </c>
      <c r="G90" s="195">
        <v>385.1</v>
      </c>
      <c r="H90" s="196">
        <f t="shared" si="5"/>
        <v>506.33</v>
      </c>
      <c r="I90" s="197">
        <f t="shared" si="6"/>
        <v>15675.98</v>
      </c>
      <c r="J90" s="19"/>
    </row>
    <row r="91" spans="1:10" ht="16.5" customHeight="1">
      <c r="A91" s="26"/>
      <c r="B91" s="127" t="s">
        <v>430</v>
      </c>
      <c r="C91" s="155" t="s">
        <v>431</v>
      </c>
      <c r="D91" s="135" t="s">
        <v>432</v>
      </c>
      <c r="E91" s="147" t="s">
        <v>27</v>
      </c>
      <c r="F91" s="194">
        <v>1</v>
      </c>
      <c r="G91" s="195">
        <v>235.2</v>
      </c>
      <c r="H91" s="195">
        <f t="shared" si="5"/>
        <v>309.24</v>
      </c>
      <c r="I91" s="200">
        <f t="shared" si="6"/>
        <v>309.24</v>
      </c>
      <c r="J91" s="19"/>
    </row>
    <row r="92" spans="1:10" ht="13.5" customHeight="1">
      <c r="A92" s="26"/>
      <c r="B92" s="127" t="s">
        <v>433</v>
      </c>
      <c r="C92" s="140" t="s">
        <v>434</v>
      </c>
      <c r="D92" s="135" t="s">
        <v>435</v>
      </c>
      <c r="E92" s="174" t="s">
        <v>27</v>
      </c>
      <c r="F92" s="194">
        <v>41.04</v>
      </c>
      <c r="G92" s="195">
        <v>157.5</v>
      </c>
      <c r="H92" s="196">
        <f t="shared" si="5"/>
        <v>207.08</v>
      </c>
      <c r="I92" s="197">
        <f t="shared" si="6"/>
        <v>8498.56</v>
      </c>
      <c r="J92" s="19"/>
    </row>
    <row r="93" spans="1:10" ht="15" customHeight="1">
      <c r="A93" s="26"/>
      <c r="B93" s="91">
        <v>6</v>
      </c>
      <c r="C93" s="176"/>
      <c r="D93" s="102" t="s">
        <v>436</v>
      </c>
      <c r="E93" s="176" t="s">
        <v>89</v>
      </c>
      <c r="F93" s="201"/>
      <c r="G93" s="178"/>
      <c r="H93" s="178">
        <f t="shared" si="5"/>
        <v>0</v>
      </c>
      <c r="I93" s="100">
        <f>SUM(I94:I100)</f>
        <v>128910.22000000002</v>
      </c>
      <c r="J93" s="19"/>
    </row>
    <row r="94" spans="1:10" ht="29.25" customHeight="1">
      <c r="A94" s="26"/>
      <c r="B94" s="127" t="s">
        <v>260</v>
      </c>
      <c r="C94" s="140" t="s">
        <v>437</v>
      </c>
      <c r="D94" s="198" t="s">
        <v>438</v>
      </c>
      <c r="E94" s="174" t="s">
        <v>25</v>
      </c>
      <c r="F94" s="148">
        <v>901.28</v>
      </c>
      <c r="G94" s="132">
        <v>3.42</v>
      </c>
      <c r="H94" s="164">
        <f t="shared" si="5"/>
        <v>4.5</v>
      </c>
      <c r="I94" s="167">
        <f aca="true" t="shared" si="7" ref="I94:I100">ROUND((F94*H94),2)</f>
        <v>4055.76</v>
      </c>
      <c r="J94" s="19"/>
    </row>
    <row r="95" spans="1:10" ht="38.25" customHeight="1">
      <c r="A95" s="26"/>
      <c r="B95" s="127" t="s">
        <v>94</v>
      </c>
      <c r="C95" s="140" t="s">
        <v>439</v>
      </c>
      <c r="D95" s="173" t="s">
        <v>440</v>
      </c>
      <c r="E95" s="174" t="s">
        <v>27</v>
      </c>
      <c r="F95" s="148">
        <v>813.08</v>
      </c>
      <c r="G95" s="132">
        <v>24.29</v>
      </c>
      <c r="H95" s="164">
        <f t="shared" si="5"/>
        <v>31.94</v>
      </c>
      <c r="I95" s="167">
        <f t="shared" si="7"/>
        <v>25969.78</v>
      </c>
      <c r="J95" s="19"/>
    </row>
    <row r="96" spans="1:10" ht="25.5" customHeight="1">
      <c r="A96" s="26"/>
      <c r="B96" s="127" t="s">
        <v>441</v>
      </c>
      <c r="C96" s="183" t="s">
        <v>442</v>
      </c>
      <c r="D96" s="173" t="s">
        <v>443</v>
      </c>
      <c r="E96" s="174" t="s">
        <v>27</v>
      </c>
      <c r="F96" s="148">
        <v>546.36</v>
      </c>
      <c r="G96" s="132">
        <v>60.65</v>
      </c>
      <c r="H96" s="164">
        <f aca="true" t="shared" si="8" ref="H96:H127">ROUND(G96+(G96*$I$9),2)</f>
        <v>79.74</v>
      </c>
      <c r="I96" s="167">
        <f t="shared" si="7"/>
        <v>43566.75</v>
      </c>
      <c r="J96" s="19"/>
    </row>
    <row r="97" spans="1:10" ht="15.75" customHeight="1">
      <c r="A97" s="26"/>
      <c r="B97" s="127" t="s">
        <v>444</v>
      </c>
      <c r="C97" s="183" t="s">
        <v>445</v>
      </c>
      <c r="D97" s="173" t="s">
        <v>446</v>
      </c>
      <c r="E97" s="174" t="s">
        <v>27</v>
      </c>
      <c r="F97" s="148">
        <v>546.36</v>
      </c>
      <c r="G97" s="132">
        <v>23</v>
      </c>
      <c r="H97" s="164">
        <f t="shared" si="8"/>
        <v>30.24</v>
      </c>
      <c r="I97" s="167">
        <f t="shared" si="7"/>
        <v>16521.93</v>
      </c>
      <c r="J97" s="19"/>
    </row>
    <row r="98" spans="1:10" ht="26.25" customHeight="1">
      <c r="A98" s="26"/>
      <c r="B98" s="127" t="s">
        <v>447</v>
      </c>
      <c r="C98" s="183" t="s">
        <v>448</v>
      </c>
      <c r="D98" s="173" t="s">
        <v>449</v>
      </c>
      <c r="E98" s="174" t="s">
        <v>27</v>
      </c>
      <c r="F98" s="148">
        <v>432.16</v>
      </c>
      <c r="G98" s="132">
        <v>12.32</v>
      </c>
      <c r="H98" s="164">
        <f t="shared" si="8"/>
        <v>16.2</v>
      </c>
      <c r="I98" s="167">
        <f t="shared" si="7"/>
        <v>7000.99</v>
      </c>
      <c r="J98" s="19"/>
    </row>
    <row r="99" spans="1:10" ht="29.25" customHeight="1">
      <c r="A99" s="26"/>
      <c r="B99" s="127" t="s">
        <v>450</v>
      </c>
      <c r="C99" s="140" t="s">
        <v>451</v>
      </c>
      <c r="D99" s="173" t="s">
        <v>452</v>
      </c>
      <c r="E99" s="174" t="s">
        <v>27</v>
      </c>
      <c r="F99" s="148">
        <v>145.67</v>
      </c>
      <c r="G99" s="132">
        <v>41.52</v>
      </c>
      <c r="H99" s="164">
        <f t="shared" si="8"/>
        <v>54.59</v>
      </c>
      <c r="I99" s="167">
        <f t="shared" si="7"/>
        <v>7952.13</v>
      </c>
      <c r="J99" s="19"/>
    </row>
    <row r="100" spans="1:10" ht="18.75" customHeight="1">
      <c r="A100" s="26"/>
      <c r="B100" s="127" t="s">
        <v>453</v>
      </c>
      <c r="C100" s="137" t="s">
        <v>454</v>
      </c>
      <c r="D100" s="198" t="s">
        <v>455</v>
      </c>
      <c r="E100" s="174" t="s">
        <v>27</v>
      </c>
      <c r="F100" s="148">
        <v>266.52</v>
      </c>
      <c r="G100" s="132">
        <v>68.04</v>
      </c>
      <c r="H100" s="164">
        <f t="shared" si="8"/>
        <v>89.46</v>
      </c>
      <c r="I100" s="167">
        <f t="shared" si="7"/>
        <v>23842.88</v>
      </c>
      <c r="J100" s="19"/>
    </row>
    <row r="101" spans="1:10" ht="15" customHeight="1">
      <c r="A101" s="26"/>
      <c r="B101" s="91">
        <v>7</v>
      </c>
      <c r="C101" s="176"/>
      <c r="D101" s="102" t="s">
        <v>456</v>
      </c>
      <c r="E101" s="176" t="s">
        <v>89</v>
      </c>
      <c r="F101" s="201"/>
      <c r="G101" s="178"/>
      <c r="H101" s="178">
        <f t="shared" si="8"/>
        <v>0</v>
      </c>
      <c r="I101" s="100">
        <f>SUM(I102:I109)</f>
        <v>139401.65000000002</v>
      </c>
      <c r="J101" s="19"/>
    </row>
    <row r="102" spans="1:10" ht="24.75" customHeight="1">
      <c r="A102" s="26"/>
      <c r="B102" s="127" t="s">
        <v>95</v>
      </c>
      <c r="C102" s="140" t="s">
        <v>457</v>
      </c>
      <c r="D102" s="173" t="s">
        <v>458</v>
      </c>
      <c r="E102" s="174" t="s">
        <v>27</v>
      </c>
      <c r="F102" s="148">
        <v>1579.09</v>
      </c>
      <c r="G102" s="132">
        <v>7.53</v>
      </c>
      <c r="H102" s="164">
        <f t="shared" si="8"/>
        <v>9.9</v>
      </c>
      <c r="I102" s="167">
        <f aca="true" t="shared" si="9" ref="I102:I109">ROUND((F102*H102),2)</f>
        <v>15632.99</v>
      </c>
      <c r="J102" s="19"/>
    </row>
    <row r="103" spans="1:10" ht="19.5" customHeight="1">
      <c r="A103" s="26"/>
      <c r="B103" s="127" t="s">
        <v>459</v>
      </c>
      <c r="C103" s="140" t="s">
        <v>460</v>
      </c>
      <c r="D103" s="173" t="s">
        <v>461</v>
      </c>
      <c r="E103" s="174" t="s">
        <v>27</v>
      </c>
      <c r="F103" s="148">
        <v>255</v>
      </c>
      <c r="G103" s="132">
        <v>17.14</v>
      </c>
      <c r="H103" s="164">
        <f t="shared" si="8"/>
        <v>22.54</v>
      </c>
      <c r="I103" s="167">
        <f t="shared" si="9"/>
        <v>5747.7</v>
      </c>
      <c r="J103" s="19"/>
    </row>
    <row r="104" spans="1:10" ht="19.5" customHeight="1">
      <c r="A104" s="26"/>
      <c r="B104" s="127" t="s">
        <v>462</v>
      </c>
      <c r="C104" s="140" t="s">
        <v>463</v>
      </c>
      <c r="D104" s="173" t="s">
        <v>464</v>
      </c>
      <c r="E104" s="174" t="s">
        <v>27</v>
      </c>
      <c r="F104" s="148">
        <f>F102-255</f>
        <v>1324.09</v>
      </c>
      <c r="G104" s="132">
        <v>22.16</v>
      </c>
      <c r="H104" s="164">
        <f t="shared" si="8"/>
        <v>29.14</v>
      </c>
      <c r="I104" s="167">
        <f t="shared" si="9"/>
        <v>38583.98</v>
      </c>
      <c r="J104" s="19"/>
    </row>
    <row r="105" spans="1:10" ht="52.5" customHeight="1">
      <c r="A105" s="26"/>
      <c r="B105" s="127" t="s">
        <v>465</v>
      </c>
      <c r="C105" s="140" t="s">
        <v>466</v>
      </c>
      <c r="D105" s="173" t="s">
        <v>467</v>
      </c>
      <c r="E105" s="174" t="s">
        <v>27</v>
      </c>
      <c r="F105" s="148">
        <f>414.27+190.21</f>
        <v>604.48</v>
      </c>
      <c r="G105" s="132">
        <v>64.7</v>
      </c>
      <c r="H105" s="164">
        <f t="shared" si="8"/>
        <v>85.07</v>
      </c>
      <c r="I105" s="167">
        <f t="shared" si="9"/>
        <v>51423.11</v>
      </c>
      <c r="J105" s="19"/>
    </row>
    <row r="106" spans="1:10" ht="41.25" customHeight="1">
      <c r="A106" s="26"/>
      <c r="B106" s="127" t="s">
        <v>468</v>
      </c>
      <c r="C106" s="140" t="s">
        <v>469</v>
      </c>
      <c r="D106" s="173" t="s">
        <v>470</v>
      </c>
      <c r="E106" s="174" t="s">
        <v>27</v>
      </c>
      <c r="F106" s="148">
        <f>270.9+414.27</f>
        <v>685.17</v>
      </c>
      <c r="G106" s="132">
        <v>20.46</v>
      </c>
      <c r="H106" s="164">
        <f t="shared" si="8"/>
        <v>26.9</v>
      </c>
      <c r="I106" s="167">
        <f t="shared" si="9"/>
        <v>18431.07</v>
      </c>
      <c r="J106" s="19"/>
    </row>
    <row r="107" spans="1:10" ht="42.75" customHeight="1">
      <c r="A107" s="26"/>
      <c r="B107" s="127" t="s">
        <v>471</v>
      </c>
      <c r="C107" s="140" t="s">
        <v>472</v>
      </c>
      <c r="D107" s="173" t="s">
        <v>473</v>
      </c>
      <c r="E107" s="174" t="s">
        <v>27</v>
      </c>
      <c r="F107" s="157">
        <v>468.24</v>
      </c>
      <c r="G107" s="132">
        <v>10.9</v>
      </c>
      <c r="H107" s="164">
        <f t="shared" si="8"/>
        <v>14.33</v>
      </c>
      <c r="I107" s="167">
        <f t="shared" si="9"/>
        <v>6709.88</v>
      </c>
      <c r="J107" s="19"/>
    </row>
    <row r="108" spans="1:10" ht="42" customHeight="1">
      <c r="A108" s="26"/>
      <c r="B108" s="127" t="s">
        <v>474</v>
      </c>
      <c r="C108" s="140" t="s">
        <v>475</v>
      </c>
      <c r="D108" s="173" t="s">
        <v>476</v>
      </c>
      <c r="E108" s="174" t="s">
        <v>27</v>
      </c>
      <c r="F108" s="148">
        <f>0.9+93.96</f>
        <v>94.86</v>
      </c>
      <c r="G108" s="132">
        <v>16.15</v>
      </c>
      <c r="H108" s="164">
        <f t="shared" si="8"/>
        <v>21.23</v>
      </c>
      <c r="I108" s="167">
        <f t="shared" si="9"/>
        <v>2013.88</v>
      </c>
      <c r="J108" s="19"/>
    </row>
    <row r="109" spans="1:10" ht="41.25" customHeight="1">
      <c r="A109" s="26"/>
      <c r="B109" s="127" t="s">
        <v>477</v>
      </c>
      <c r="C109" s="140" t="s">
        <v>478</v>
      </c>
      <c r="D109" s="173" t="s">
        <v>479</v>
      </c>
      <c r="E109" s="174" t="s">
        <v>27</v>
      </c>
      <c r="F109" s="148">
        <v>20.79</v>
      </c>
      <c r="G109" s="132">
        <v>31.43</v>
      </c>
      <c r="H109" s="164">
        <f t="shared" si="8"/>
        <v>41.32</v>
      </c>
      <c r="I109" s="133">
        <f t="shared" si="9"/>
        <v>859.04</v>
      </c>
      <c r="J109" s="19"/>
    </row>
    <row r="110" spans="1:10" ht="15">
      <c r="A110" s="26"/>
      <c r="B110" s="91">
        <v>8</v>
      </c>
      <c r="C110" s="13"/>
      <c r="D110" s="102" t="s">
        <v>480</v>
      </c>
      <c r="E110" s="102"/>
      <c r="F110" s="202"/>
      <c r="G110" s="178"/>
      <c r="H110" s="178">
        <f t="shared" si="8"/>
        <v>0</v>
      </c>
      <c r="I110" s="100">
        <f>SUM(I111:I119)</f>
        <v>157233.02</v>
      </c>
      <c r="J110" s="19"/>
    </row>
    <row r="111" spans="1:10" ht="25.5">
      <c r="A111" s="26"/>
      <c r="B111" s="127" t="s">
        <v>96</v>
      </c>
      <c r="C111" s="137" t="s">
        <v>481</v>
      </c>
      <c r="D111" s="173" t="s">
        <v>482</v>
      </c>
      <c r="E111" s="174" t="s">
        <v>27</v>
      </c>
      <c r="F111" s="149">
        <v>648.83</v>
      </c>
      <c r="G111" s="132">
        <v>91.14</v>
      </c>
      <c r="H111" s="164">
        <f t="shared" si="8"/>
        <v>119.83</v>
      </c>
      <c r="I111" s="167">
        <f aca="true" t="shared" si="10" ref="I111:I119">ROUND((F111*H111),2)</f>
        <v>77749.3</v>
      </c>
      <c r="J111" s="19"/>
    </row>
    <row r="112" spans="1:10" ht="26.25" customHeight="1">
      <c r="A112" s="26"/>
      <c r="B112" s="127" t="s">
        <v>261</v>
      </c>
      <c r="C112" s="151" t="s">
        <v>483</v>
      </c>
      <c r="D112" s="173" t="s">
        <v>484</v>
      </c>
      <c r="E112" s="174" t="s">
        <v>27</v>
      </c>
      <c r="F112" s="149">
        <v>648.83</v>
      </c>
      <c r="G112" s="132">
        <v>65.17</v>
      </c>
      <c r="H112" s="164">
        <f t="shared" si="8"/>
        <v>85.69</v>
      </c>
      <c r="I112" s="167">
        <f t="shared" si="10"/>
        <v>55598.24</v>
      </c>
      <c r="J112" s="19"/>
    </row>
    <row r="113" spans="1:10" ht="25.5">
      <c r="A113" s="26"/>
      <c r="B113" s="127" t="s">
        <v>315</v>
      </c>
      <c r="C113" s="140" t="s">
        <v>485</v>
      </c>
      <c r="D113" s="146" t="s">
        <v>486</v>
      </c>
      <c r="E113" s="147" t="s">
        <v>487</v>
      </c>
      <c r="F113" s="149">
        <v>120.94</v>
      </c>
      <c r="G113" s="132">
        <v>57.79</v>
      </c>
      <c r="H113" s="132">
        <f t="shared" si="8"/>
        <v>75.98</v>
      </c>
      <c r="I113" s="133">
        <f t="shared" si="10"/>
        <v>9189.02</v>
      </c>
      <c r="J113" s="19"/>
    </row>
    <row r="114" spans="1:10" ht="25.5">
      <c r="A114" s="26"/>
      <c r="B114" s="127" t="s">
        <v>262</v>
      </c>
      <c r="C114" s="140" t="s">
        <v>488</v>
      </c>
      <c r="D114" s="146" t="s">
        <v>489</v>
      </c>
      <c r="E114" s="147" t="s">
        <v>487</v>
      </c>
      <c r="F114" s="149">
        <v>102.97</v>
      </c>
      <c r="G114" s="132">
        <v>18.3</v>
      </c>
      <c r="H114" s="132">
        <f t="shared" si="8"/>
        <v>24.06</v>
      </c>
      <c r="I114" s="133">
        <f t="shared" si="10"/>
        <v>2477.46</v>
      </c>
      <c r="J114" s="19"/>
    </row>
    <row r="115" spans="1:10" ht="12.75">
      <c r="A115" s="26"/>
      <c r="B115" s="127" t="s">
        <v>263</v>
      </c>
      <c r="C115" s="140" t="s">
        <v>490</v>
      </c>
      <c r="D115" s="146" t="s">
        <v>491</v>
      </c>
      <c r="E115" s="147" t="s">
        <v>487</v>
      </c>
      <c r="F115" s="149">
        <v>57.66</v>
      </c>
      <c r="G115" s="132">
        <v>19.53</v>
      </c>
      <c r="H115" s="132">
        <f t="shared" si="8"/>
        <v>25.68</v>
      </c>
      <c r="I115" s="133">
        <f t="shared" si="10"/>
        <v>1480.71</v>
      </c>
      <c r="J115" s="19"/>
    </row>
    <row r="116" spans="1:10" ht="25.5">
      <c r="A116" s="26"/>
      <c r="B116" s="127" t="s">
        <v>492</v>
      </c>
      <c r="C116" s="140" t="s">
        <v>493</v>
      </c>
      <c r="D116" s="146" t="s">
        <v>494</v>
      </c>
      <c r="E116" s="147" t="s">
        <v>178</v>
      </c>
      <c r="F116" s="149">
        <v>4</v>
      </c>
      <c r="G116" s="132">
        <v>309.39</v>
      </c>
      <c r="H116" s="132">
        <f t="shared" si="8"/>
        <v>406.79</v>
      </c>
      <c r="I116" s="133">
        <f t="shared" si="10"/>
        <v>1627.16</v>
      </c>
      <c r="J116" s="19"/>
    </row>
    <row r="117" spans="1:10" ht="25.5">
      <c r="A117" s="26"/>
      <c r="B117" s="127" t="s">
        <v>495</v>
      </c>
      <c r="C117" s="140" t="s">
        <v>496</v>
      </c>
      <c r="D117" s="146" t="s">
        <v>497</v>
      </c>
      <c r="E117" s="147" t="s">
        <v>487</v>
      </c>
      <c r="F117" s="149">
        <v>52</v>
      </c>
      <c r="G117" s="132">
        <v>36.27</v>
      </c>
      <c r="H117" s="132">
        <f t="shared" si="8"/>
        <v>47.69</v>
      </c>
      <c r="I117" s="133">
        <f t="shared" si="10"/>
        <v>2479.88</v>
      </c>
      <c r="J117" s="19"/>
    </row>
    <row r="118" spans="1:10" ht="25.5">
      <c r="A118" s="26"/>
      <c r="B118" s="127" t="s">
        <v>498</v>
      </c>
      <c r="C118" s="140" t="s">
        <v>499</v>
      </c>
      <c r="D118" s="146" t="s">
        <v>500</v>
      </c>
      <c r="E118" s="147" t="s">
        <v>487</v>
      </c>
      <c r="F118" s="149">
        <v>20.55</v>
      </c>
      <c r="G118" s="132">
        <v>21.81</v>
      </c>
      <c r="H118" s="132">
        <f t="shared" si="8"/>
        <v>28.68</v>
      </c>
      <c r="I118" s="133">
        <f t="shared" si="10"/>
        <v>589.37</v>
      </c>
      <c r="J118" s="19"/>
    </row>
    <row r="119" spans="1:10" ht="25.5">
      <c r="A119" s="26"/>
      <c r="B119" s="127" t="s">
        <v>501</v>
      </c>
      <c r="C119" s="140" t="s">
        <v>502</v>
      </c>
      <c r="D119" s="146" t="s">
        <v>503</v>
      </c>
      <c r="E119" s="147" t="s">
        <v>28</v>
      </c>
      <c r="F119" s="149">
        <v>36</v>
      </c>
      <c r="G119" s="132">
        <v>127.65</v>
      </c>
      <c r="H119" s="132">
        <f t="shared" si="8"/>
        <v>167.83</v>
      </c>
      <c r="I119" s="133">
        <f t="shared" si="10"/>
        <v>6041.88</v>
      </c>
      <c r="J119" s="19"/>
    </row>
    <row r="120" spans="1:10" ht="15">
      <c r="A120" s="26"/>
      <c r="B120" s="91">
        <v>9</v>
      </c>
      <c r="C120" s="13"/>
      <c r="D120" s="102" t="s">
        <v>504</v>
      </c>
      <c r="E120" s="176"/>
      <c r="F120" s="202"/>
      <c r="G120" s="178"/>
      <c r="H120" s="178">
        <f t="shared" si="8"/>
        <v>0</v>
      </c>
      <c r="I120" s="100">
        <f>SUM(I121:I122)</f>
        <v>6777.13</v>
      </c>
      <c r="J120" s="19"/>
    </row>
    <row r="121" spans="1:10" ht="25.5">
      <c r="A121" s="26"/>
      <c r="B121" s="127" t="s">
        <v>99</v>
      </c>
      <c r="C121" s="151" t="s">
        <v>505</v>
      </c>
      <c r="D121" s="173" t="s">
        <v>506</v>
      </c>
      <c r="E121" s="174" t="s">
        <v>27</v>
      </c>
      <c r="F121" s="149">
        <v>14.68</v>
      </c>
      <c r="G121" s="132">
        <v>303.81</v>
      </c>
      <c r="H121" s="164">
        <f t="shared" si="8"/>
        <v>399.45</v>
      </c>
      <c r="I121" s="167">
        <f>ROUND((F121*H121),2)</f>
        <v>5863.93</v>
      </c>
      <c r="J121" s="19"/>
    </row>
    <row r="122" spans="1:10" ht="25.5">
      <c r="A122" s="26"/>
      <c r="B122" s="127" t="s">
        <v>507</v>
      </c>
      <c r="C122" s="151" t="s">
        <v>508</v>
      </c>
      <c r="D122" s="173" t="s">
        <v>509</v>
      </c>
      <c r="E122" s="174" t="s">
        <v>28</v>
      </c>
      <c r="F122" s="149">
        <v>23.53</v>
      </c>
      <c r="G122" s="132">
        <v>29.52</v>
      </c>
      <c r="H122" s="164">
        <f t="shared" si="8"/>
        <v>38.81</v>
      </c>
      <c r="I122" s="167">
        <f>ROUND((F122*H122),2)</f>
        <v>913.2</v>
      </c>
      <c r="J122" s="19"/>
    </row>
    <row r="123" spans="1:10" ht="15">
      <c r="A123" s="26"/>
      <c r="B123" s="91">
        <v>10</v>
      </c>
      <c r="C123" s="13"/>
      <c r="D123" s="102" t="s">
        <v>510</v>
      </c>
      <c r="E123" s="176"/>
      <c r="F123" s="202"/>
      <c r="G123" s="178"/>
      <c r="H123" s="178">
        <f t="shared" si="8"/>
        <v>0</v>
      </c>
      <c r="I123" s="100">
        <f>SUM(I124:I130)</f>
        <v>30996.790000000005</v>
      </c>
      <c r="J123" s="19"/>
    </row>
    <row r="124" spans="1:10" ht="12.75">
      <c r="A124" s="26"/>
      <c r="B124" s="127" t="s">
        <v>163</v>
      </c>
      <c r="C124" s="137" t="s">
        <v>511</v>
      </c>
      <c r="D124" s="173" t="s">
        <v>512</v>
      </c>
      <c r="E124" s="174" t="s">
        <v>178</v>
      </c>
      <c r="F124" s="149">
        <v>2</v>
      </c>
      <c r="G124" s="132">
        <v>161.39</v>
      </c>
      <c r="H124" s="164">
        <f t="shared" si="8"/>
        <v>212.2</v>
      </c>
      <c r="I124" s="167">
        <f aca="true" t="shared" si="11" ref="I124:I130">ROUND((F124*H124),2)</f>
        <v>424.4</v>
      </c>
      <c r="J124" s="19"/>
    </row>
    <row r="125" spans="1:10" ht="25.5">
      <c r="A125" s="26"/>
      <c r="B125" s="127" t="s">
        <v>164</v>
      </c>
      <c r="C125" s="151" t="s">
        <v>513</v>
      </c>
      <c r="D125" s="146" t="s">
        <v>514</v>
      </c>
      <c r="E125" s="174" t="s">
        <v>178</v>
      </c>
      <c r="F125" s="149">
        <v>2</v>
      </c>
      <c r="G125" s="132">
        <v>1151.49</v>
      </c>
      <c r="H125" s="164">
        <f t="shared" si="8"/>
        <v>1513.98</v>
      </c>
      <c r="I125" s="167">
        <f t="shared" si="11"/>
        <v>3027.96</v>
      </c>
      <c r="J125" s="19"/>
    </row>
    <row r="126" spans="1:10" ht="25.5">
      <c r="A126" s="26"/>
      <c r="B126" s="127" t="s">
        <v>165</v>
      </c>
      <c r="C126" s="140" t="s">
        <v>515</v>
      </c>
      <c r="D126" s="173" t="s">
        <v>516</v>
      </c>
      <c r="E126" s="174" t="s">
        <v>28</v>
      </c>
      <c r="F126" s="149">
        <v>291.46</v>
      </c>
      <c r="G126" s="132">
        <v>23.55</v>
      </c>
      <c r="H126" s="164">
        <f t="shared" si="8"/>
        <v>30.96</v>
      </c>
      <c r="I126" s="167">
        <f t="shared" si="11"/>
        <v>9023.6</v>
      </c>
      <c r="J126" s="19"/>
    </row>
    <row r="127" spans="1:10" ht="25.5">
      <c r="A127" s="26"/>
      <c r="B127" s="127" t="s">
        <v>166</v>
      </c>
      <c r="C127" s="140" t="s">
        <v>517</v>
      </c>
      <c r="D127" s="173" t="s">
        <v>518</v>
      </c>
      <c r="E127" s="174" t="s">
        <v>27</v>
      </c>
      <c r="F127" s="149">
        <v>635</v>
      </c>
      <c r="G127" s="132">
        <v>16.53</v>
      </c>
      <c r="H127" s="164">
        <f t="shared" si="8"/>
        <v>21.73</v>
      </c>
      <c r="I127" s="167">
        <f t="shared" si="11"/>
        <v>13798.55</v>
      </c>
      <c r="J127" s="19"/>
    </row>
    <row r="128" spans="1:10" ht="25.5">
      <c r="A128" s="26"/>
      <c r="B128" s="127" t="s">
        <v>167</v>
      </c>
      <c r="C128" s="137" t="s">
        <v>519</v>
      </c>
      <c r="D128" s="173" t="s">
        <v>520</v>
      </c>
      <c r="E128" s="174" t="s">
        <v>28</v>
      </c>
      <c r="F128" s="149">
        <v>7</v>
      </c>
      <c r="G128" s="132">
        <v>143.44</v>
      </c>
      <c r="H128" s="164">
        <f aca="true" t="shared" si="12" ref="H128:H159">ROUND(G128+(G128*$I$9),2)</f>
        <v>188.59</v>
      </c>
      <c r="I128" s="167">
        <f t="shared" si="11"/>
        <v>1320.13</v>
      </c>
      <c r="J128" s="19"/>
    </row>
    <row r="129" spans="1:10" ht="25.5">
      <c r="A129" s="26"/>
      <c r="B129" s="127" t="s">
        <v>168</v>
      </c>
      <c r="C129" s="140" t="s">
        <v>521</v>
      </c>
      <c r="D129" s="143" t="s">
        <v>522</v>
      </c>
      <c r="E129" s="174" t="s">
        <v>27</v>
      </c>
      <c r="F129" s="148">
        <v>7.41</v>
      </c>
      <c r="G129" s="132">
        <v>218.64</v>
      </c>
      <c r="H129" s="164">
        <f t="shared" si="12"/>
        <v>287.47</v>
      </c>
      <c r="I129" s="167">
        <f t="shared" si="11"/>
        <v>2130.15</v>
      </c>
      <c r="J129" s="19"/>
    </row>
    <row r="130" spans="1:10" ht="12.75">
      <c r="A130" s="26"/>
      <c r="B130" s="127" t="s">
        <v>169</v>
      </c>
      <c r="C130" s="151" t="s">
        <v>523</v>
      </c>
      <c r="D130" s="189" t="s">
        <v>524</v>
      </c>
      <c r="E130" s="174" t="s">
        <v>110</v>
      </c>
      <c r="F130" s="149">
        <v>2</v>
      </c>
      <c r="G130" s="132">
        <v>483.72</v>
      </c>
      <c r="H130" s="164">
        <f t="shared" si="12"/>
        <v>636</v>
      </c>
      <c r="I130" s="167">
        <f t="shared" si="11"/>
        <v>1272</v>
      </c>
      <c r="J130" s="19"/>
    </row>
    <row r="131" spans="1:10" ht="15">
      <c r="A131" s="26"/>
      <c r="B131" s="91">
        <v>11</v>
      </c>
      <c r="C131" s="13"/>
      <c r="D131" s="102" t="s">
        <v>97</v>
      </c>
      <c r="E131" s="176" t="s">
        <v>89</v>
      </c>
      <c r="F131" s="202"/>
      <c r="G131" s="178"/>
      <c r="H131" s="178">
        <f t="shared" si="12"/>
        <v>0</v>
      </c>
      <c r="I131" s="100">
        <f>SUM(I133:I162)</f>
        <v>50050.81</v>
      </c>
      <c r="J131" s="19"/>
    </row>
    <row r="132" spans="1:10" ht="18" customHeight="1">
      <c r="A132" s="26"/>
      <c r="B132" s="203" t="s">
        <v>101</v>
      </c>
      <c r="C132" s="204"/>
      <c r="D132" s="187" t="s">
        <v>525</v>
      </c>
      <c r="E132" s="205"/>
      <c r="F132" s="206"/>
      <c r="G132" s="207"/>
      <c r="H132" s="207">
        <f t="shared" si="12"/>
        <v>0</v>
      </c>
      <c r="I132" s="208">
        <f aca="true" t="shared" si="13" ref="I132:I152">ROUND((F132*H132),2)</f>
        <v>0</v>
      </c>
      <c r="J132" s="19"/>
    </row>
    <row r="133" spans="1:10" ht="25.5">
      <c r="A133" s="26"/>
      <c r="B133" s="127" t="s">
        <v>526</v>
      </c>
      <c r="C133" s="151" t="s">
        <v>120</v>
      </c>
      <c r="D133" s="209" t="s">
        <v>121</v>
      </c>
      <c r="E133" s="210" t="s">
        <v>119</v>
      </c>
      <c r="F133" s="149">
        <f>17+14</f>
        <v>31</v>
      </c>
      <c r="G133" s="132">
        <v>81.65</v>
      </c>
      <c r="H133" s="164">
        <f t="shared" si="12"/>
        <v>107.35</v>
      </c>
      <c r="I133" s="167">
        <f t="shared" si="13"/>
        <v>3327.85</v>
      </c>
      <c r="J133" s="19"/>
    </row>
    <row r="134" spans="1:10" ht="25.5">
      <c r="A134" s="26"/>
      <c r="B134" s="127" t="s">
        <v>527</v>
      </c>
      <c r="C134" s="140" t="s">
        <v>528</v>
      </c>
      <c r="D134" s="146" t="s">
        <v>529</v>
      </c>
      <c r="E134" s="174" t="s">
        <v>178</v>
      </c>
      <c r="F134" s="149">
        <v>2</v>
      </c>
      <c r="G134" s="132">
        <v>28.29</v>
      </c>
      <c r="H134" s="164">
        <f t="shared" si="12"/>
        <v>37.2</v>
      </c>
      <c r="I134" s="167">
        <f t="shared" si="13"/>
        <v>74.4</v>
      </c>
      <c r="J134" s="19"/>
    </row>
    <row r="135" spans="1:10" ht="21" customHeight="1">
      <c r="A135" s="26"/>
      <c r="B135" s="127" t="s">
        <v>530</v>
      </c>
      <c r="C135" s="151" t="s">
        <v>531</v>
      </c>
      <c r="D135" s="173" t="s">
        <v>532</v>
      </c>
      <c r="E135" s="174" t="s">
        <v>178</v>
      </c>
      <c r="F135" s="149">
        <v>15</v>
      </c>
      <c r="G135" s="132">
        <v>42.6</v>
      </c>
      <c r="H135" s="164">
        <f t="shared" si="12"/>
        <v>56.01</v>
      </c>
      <c r="I135" s="167">
        <f t="shared" si="13"/>
        <v>840.15</v>
      </c>
      <c r="J135" s="19"/>
    </row>
    <row r="136" spans="1:10" ht="21" customHeight="1">
      <c r="A136" s="26"/>
      <c r="B136" s="127" t="s">
        <v>533</v>
      </c>
      <c r="C136" s="151" t="s">
        <v>534</v>
      </c>
      <c r="D136" s="173" t="s">
        <v>535</v>
      </c>
      <c r="E136" s="174" t="s">
        <v>178</v>
      </c>
      <c r="F136" s="149">
        <v>14</v>
      </c>
      <c r="G136" s="132">
        <v>61.89</v>
      </c>
      <c r="H136" s="164">
        <f t="shared" si="12"/>
        <v>81.37</v>
      </c>
      <c r="I136" s="167">
        <f t="shared" si="13"/>
        <v>1139.18</v>
      </c>
      <c r="J136" s="19"/>
    </row>
    <row r="137" spans="1:10" ht="25.5" customHeight="1">
      <c r="A137" s="26"/>
      <c r="B137" s="127" t="s">
        <v>536</v>
      </c>
      <c r="C137" s="140" t="s">
        <v>537</v>
      </c>
      <c r="D137" s="146" t="s">
        <v>538</v>
      </c>
      <c r="E137" s="174" t="s">
        <v>178</v>
      </c>
      <c r="F137" s="149">
        <v>10</v>
      </c>
      <c r="G137" s="132">
        <v>63.57</v>
      </c>
      <c r="H137" s="164">
        <f t="shared" si="12"/>
        <v>83.58</v>
      </c>
      <c r="I137" s="167">
        <f t="shared" si="13"/>
        <v>835.8</v>
      </c>
      <c r="J137" s="19"/>
    </row>
    <row r="138" spans="1:10" ht="25.5" customHeight="1">
      <c r="A138" s="26"/>
      <c r="B138" s="127" t="s">
        <v>539</v>
      </c>
      <c r="C138" s="140" t="s">
        <v>540</v>
      </c>
      <c r="D138" s="146" t="s">
        <v>541</v>
      </c>
      <c r="E138" s="174" t="s">
        <v>178</v>
      </c>
      <c r="F138" s="149">
        <v>5</v>
      </c>
      <c r="G138" s="132">
        <v>58.93</v>
      </c>
      <c r="H138" s="164">
        <f t="shared" si="12"/>
        <v>77.48</v>
      </c>
      <c r="I138" s="167">
        <f t="shared" si="13"/>
        <v>387.4</v>
      </c>
      <c r="J138" s="19"/>
    </row>
    <row r="139" spans="1:10" ht="25.5" customHeight="1">
      <c r="A139" s="26"/>
      <c r="B139" s="127" t="s">
        <v>542</v>
      </c>
      <c r="C139" s="140" t="s">
        <v>543</v>
      </c>
      <c r="D139" s="146" t="s">
        <v>544</v>
      </c>
      <c r="E139" s="174" t="s">
        <v>178</v>
      </c>
      <c r="F139" s="149">
        <v>13</v>
      </c>
      <c r="G139" s="132">
        <v>49.53</v>
      </c>
      <c r="H139" s="164">
        <f t="shared" si="12"/>
        <v>65.12</v>
      </c>
      <c r="I139" s="167">
        <f t="shared" si="13"/>
        <v>846.56</v>
      </c>
      <c r="J139" s="19"/>
    </row>
    <row r="140" spans="1:10" ht="25.5" customHeight="1">
      <c r="A140" s="26"/>
      <c r="B140" s="127" t="s">
        <v>545</v>
      </c>
      <c r="C140" s="140" t="s">
        <v>546</v>
      </c>
      <c r="D140" s="146" t="s">
        <v>547</v>
      </c>
      <c r="E140" s="147" t="s">
        <v>178</v>
      </c>
      <c r="F140" s="149">
        <v>14</v>
      </c>
      <c r="G140" s="132">
        <v>228.22</v>
      </c>
      <c r="H140" s="132">
        <f t="shared" si="12"/>
        <v>300.06</v>
      </c>
      <c r="I140" s="133">
        <f t="shared" si="13"/>
        <v>4200.84</v>
      </c>
      <c r="J140" s="19"/>
    </row>
    <row r="141" spans="1:10" ht="27" customHeight="1">
      <c r="A141" s="26"/>
      <c r="B141" s="127" t="s">
        <v>548</v>
      </c>
      <c r="C141" s="140" t="s">
        <v>549</v>
      </c>
      <c r="D141" s="146" t="s">
        <v>550</v>
      </c>
      <c r="E141" s="147" t="s">
        <v>178</v>
      </c>
      <c r="F141" s="149">
        <v>14</v>
      </c>
      <c r="G141" s="132">
        <v>59.07</v>
      </c>
      <c r="H141" s="132">
        <f t="shared" si="12"/>
        <v>77.67</v>
      </c>
      <c r="I141" s="133">
        <f t="shared" si="13"/>
        <v>1087.38</v>
      </c>
      <c r="J141" s="19"/>
    </row>
    <row r="142" spans="1:10" ht="27" customHeight="1">
      <c r="A142" s="26"/>
      <c r="B142" s="127" t="s">
        <v>551</v>
      </c>
      <c r="C142" s="140" t="s">
        <v>308</v>
      </c>
      <c r="D142" s="146" t="s">
        <v>309</v>
      </c>
      <c r="E142" s="147" t="s">
        <v>178</v>
      </c>
      <c r="F142" s="149">
        <v>3</v>
      </c>
      <c r="G142" s="132">
        <v>68.07</v>
      </c>
      <c r="H142" s="132">
        <f t="shared" si="12"/>
        <v>89.5</v>
      </c>
      <c r="I142" s="133">
        <f t="shared" si="13"/>
        <v>268.5</v>
      </c>
      <c r="J142" s="19"/>
    </row>
    <row r="143" spans="1:10" ht="21.75" customHeight="1">
      <c r="A143" s="26"/>
      <c r="B143" s="127" t="s">
        <v>552</v>
      </c>
      <c r="C143" s="140" t="s">
        <v>553</v>
      </c>
      <c r="D143" s="146" t="s">
        <v>554</v>
      </c>
      <c r="E143" s="147" t="s">
        <v>178</v>
      </c>
      <c r="F143" s="149">
        <v>3</v>
      </c>
      <c r="G143" s="132">
        <v>732.46</v>
      </c>
      <c r="H143" s="132">
        <f t="shared" si="12"/>
        <v>963.04</v>
      </c>
      <c r="I143" s="133">
        <f t="shared" si="13"/>
        <v>2889.12</v>
      </c>
      <c r="J143" s="19"/>
    </row>
    <row r="144" spans="1:10" ht="38.25" customHeight="1">
      <c r="A144" s="26"/>
      <c r="B144" s="127" t="s">
        <v>555</v>
      </c>
      <c r="C144" s="130" t="s">
        <v>556</v>
      </c>
      <c r="D144" s="146" t="s">
        <v>557</v>
      </c>
      <c r="E144" s="147" t="s">
        <v>178</v>
      </c>
      <c r="F144" s="149">
        <v>12</v>
      </c>
      <c r="G144" s="132">
        <v>268.3</v>
      </c>
      <c r="H144" s="132">
        <f t="shared" si="12"/>
        <v>352.76</v>
      </c>
      <c r="I144" s="133">
        <f t="shared" si="13"/>
        <v>4233.12</v>
      </c>
      <c r="J144" s="19"/>
    </row>
    <row r="145" spans="1:10" ht="25.5">
      <c r="A145" s="26"/>
      <c r="B145" s="127" t="s">
        <v>558</v>
      </c>
      <c r="C145" s="140" t="s">
        <v>559</v>
      </c>
      <c r="D145" s="146" t="s">
        <v>560</v>
      </c>
      <c r="E145" s="147" t="s">
        <v>178</v>
      </c>
      <c r="F145" s="149">
        <v>2</v>
      </c>
      <c r="G145" s="132">
        <v>515.54</v>
      </c>
      <c r="H145" s="132">
        <f t="shared" si="12"/>
        <v>677.83</v>
      </c>
      <c r="I145" s="133">
        <f t="shared" si="13"/>
        <v>1355.66</v>
      </c>
      <c r="J145" s="19"/>
    </row>
    <row r="146" spans="1:10" ht="39.75" customHeight="1">
      <c r="A146" s="26"/>
      <c r="B146" s="127" t="s">
        <v>561</v>
      </c>
      <c r="C146" s="140" t="s">
        <v>562</v>
      </c>
      <c r="D146" s="173" t="s">
        <v>563</v>
      </c>
      <c r="E146" s="174" t="s">
        <v>178</v>
      </c>
      <c r="F146" s="211">
        <v>14</v>
      </c>
      <c r="G146" s="132">
        <v>32.57</v>
      </c>
      <c r="H146" s="164">
        <f t="shared" si="12"/>
        <v>42.82</v>
      </c>
      <c r="I146" s="167">
        <f t="shared" si="13"/>
        <v>599.48</v>
      </c>
      <c r="J146" s="19"/>
    </row>
    <row r="147" spans="1:10" ht="24.75" customHeight="1">
      <c r="A147" s="26"/>
      <c r="B147" s="127" t="s">
        <v>564</v>
      </c>
      <c r="C147" s="140" t="s">
        <v>565</v>
      </c>
      <c r="D147" s="143" t="s">
        <v>566</v>
      </c>
      <c r="E147" s="174" t="s">
        <v>178</v>
      </c>
      <c r="F147" s="211">
        <v>14</v>
      </c>
      <c r="G147" s="164">
        <v>665.19</v>
      </c>
      <c r="H147" s="164">
        <f t="shared" si="12"/>
        <v>874.59</v>
      </c>
      <c r="I147" s="167">
        <f t="shared" si="13"/>
        <v>12244.26</v>
      </c>
      <c r="J147" s="19"/>
    </row>
    <row r="148" spans="1:10" ht="22.5" customHeight="1">
      <c r="A148" s="26"/>
      <c r="B148" s="127" t="s">
        <v>567</v>
      </c>
      <c r="C148" s="140" t="s">
        <v>568</v>
      </c>
      <c r="D148" s="173" t="s">
        <v>569</v>
      </c>
      <c r="E148" s="174" t="s">
        <v>178</v>
      </c>
      <c r="F148" s="211">
        <v>14</v>
      </c>
      <c r="G148" s="164">
        <v>58.88</v>
      </c>
      <c r="H148" s="164">
        <f t="shared" si="12"/>
        <v>77.42</v>
      </c>
      <c r="I148" s="167">
        <f t="shared" si="13"/>
        <v>1083.88</v>
      </c>
      <c r="J148" s="19"/>
    </row>
    <row r="149" spans="1:10" ht="17.25" customHeight="1">
      <c r="A149" s="26"/>
      <c r="B149" s="127" t="s">
        <v>570</v>
      </c>
      <c r="C149" s="140" t="s">
        <v>571</v>
      </c>
      <c r="D149" s="173" t="s">
        <v>572</v>
      </c>
      <c r="E149" s="174" t="s">
        <v>98</v>
      </c>
      <c r="F149" s="211">
        <v>14</v>
      </c>
      <c r="G149" s="164">
        <v>29.34</v>
      </c>
      <c r="H149" s="164">
        <f t="shared" si="12"/>
        <v>38.58</v>
      </c>
      <c r="I149" s="167">
        <f t="shared" si="13"/>
        <v>540.12</v>
      </c>
      <c r="J149" s="19"/>
    </row>
    <row r="150" spans="1:10" ht="21" customHeight="1">
      <c r="A150" s="163"/>
      <c r="B150" s="127" t="s">
        <v>573</v>
      </c>
      <c r="C150" s="140" t="s">
        <v>574</v>
      </c>
      <c r="D150" s="143" t="s">
        <v>575</v>
      </c>
      <c r="E150" s="147" t="s">
        <v>178</v>
      </c>
      <c r="F150" s="149">
        <v>14</v>
      </c>
      <c r="G150" s="132">
        <v>39.74</v>
      </c>
      <c r="H150" s="132">
        <f t="shared" si="12"/>
        <v>52.25</v>
      </c>
      <c r="I150" s="133">
        <f t="shared" si="13"/>
        <v>731.5</v>
      </c>
      <c r="J150" s="19"/>
    </row>
    <row r="151" spans="1:10" ht="27.75" customHeight="1">
      <c r="A151" s="163"/>
      <c r="B151" s="127" t="s">
        <v>576</v>
      </c>
      <c r="C151" s="140" t="s">
        <v>577</v>
      </c>
      <c r="D151" s="146" t="s">
        <v>578</v>
      </c>
      <c r="E151" s="147" t="s">
        <v>178</v>
      </c>
      <c r="F151" s="149">
        <v>13</v>
      </c>
      <c r="G151" s="132">
        <v>40</v>
      </c>
      <c r="H151" s="132">
        <f t="shared" si="12"/>
        <v>52.59</v>
      </c>
      <c r="I151" s="133">
        <f t="shared" si="13"/>
        <v>683.67</v>
      </c>
      <c r="J151" s="19"/>
    </row>
    <row r="152" spans="1:10" ht="27.75" customHeight="1">
      <c r="A152" s="163"/>
      <c r="B152" s="127" t="s">
        <v>579</v>
      </c>
      <c r="C152" s="130" t="s">
        <v>580</v>
      </c>
      <c r="D152" s="139" t="s">
        <v>581</v>
      </c>
      <c r="E152" s="147" t="s">
        <v>178</v>
      </c>
      <c r="F152" s="149">
        <v>5</v>
      </c>
      <c r="G152" s="132">
        <v>34.67</v>
      </c>
      <c r="H152" s="132">
        <f t="shared" si="12"/>
        <v>45.58</v>
      </c>
      <c r="I152" s="133">
        <f t="shared" si="13"/>
        <v>227.9</v>
      </c>
      <c r="J152" s="19"/>
    </row>
    <row r="153" spans="1:10" ht="14.25" customHeight="1">
      <c r="A153" s="26"/>
      <c r="B153" s="203" t="s">
        <v>102</v>
      </c>
      <c r="C153" s="204"/>
      <c r="D153" s="212" t="s">
        <v>582</v>
      </c>
      <c r="E153" s="213" t="s">
        <v>89</v>
      </c>
      <c r="F153" s="206"/>
      <c r="G153" s="207"/>
      <c r="H153" s="207">
        <f t="shared" si="12"/>
        <v>0</v>
      </c>
      <c r="I153" s="208"/>
      <c r="J153" s="19"/>
    </row>
    <row r="154" spans="1:10" ht="42" customHeight="1">
      <c r="A154" s="26"/>
      <c r="B154" s="127" t="s">
        <v>583</v>
      </c>
      <c r="C154" s="151" t="s">
        <v>584</v>
      </c>
      <c r="D154" s="214" t="s">
        <v>585</v>
      </c>
      <c r="E154" s="210" t="s">
        <v>119</v>
      </c>
      <c r="F154" s="149">
        <f>17+18</f>
        <v>35</v>
      </c>
      <c r="G154" s="164">
        <v>50.46</v>
      </c>
      <c r="H154" s="164">
        <f t="shared" si="12"/>
        <v>66.34</v>
      </c>
      <c r="I154" s="167">
        <f aca="true" t="shared" si="14" ref="I154:I162">ROUND((F154*H154),2)</f>
        <v>2321.9</v>
      </c>
      <c r="J154" s="19"/>
    </row>
    <row r="155" spans="1:10" ht="25.5" customHeight="1">
      <c r="A155" s="26"/>
      <c r="B155" s="127" t="s">
        <v>586</v>
      </c>
      <c r="C155" s="151" t="s">
        <v>587</v>
      </c>
      <c r="D155" s="214" t="s">
        <v>588</v>
      </c>
      <c r="E155" s="210" t="s">
        <v>119</v>
      </c>
      <c r="F155" s="149">
        <v>17</v>
      </c>
      <c r="G155" s="164">
        <v>75.6</v>
      </c>
      <c r="H155" s="164">
        <f t="shared" si="12"/>
        <v>99.4</v>
      </c>
      <c r="I155" s="167">
        <f t="shared" si="14"/>
        <v>1689.8</v>
      </c>
      <c r="J155" s="19"/>
    </row>
    <row r="156" spans="1:10" ht="30" customHeight="1">
      <c r="A156" s="26"/>
      <c r="B156" s="127" t="s">
        <v>589</v>
      </c>
      <c r="C156" s="137" t="s">
        <v>590</v>
      </c>
      <c r="D156" s="173" t="s">
        <v>591</v>
      </c>
      <c r="E156" s="174" t="s">
        <v>178</v>
      </c>
      <c r="F156" s="149">
        <v>14</v>
      </c>
      <c r="G156" s="164">
        <v>8.55</v>
      </c>
      <c r="H156" s="164">
        <f t="shared" si="12"/>
        <v>11.24</v>
      </c>
      <c r="I156" s="167">
        <f t="shared" si="14"/>
        <v>157.36</v>
      </c>
      <c r="J156" s="19"/>
    </row>
    <row r="157" spans="1:10" ht="54" customHeight="1">
      <c r="A157" s="26"/>
      <c r="B157" s="127" t="s">
        <v>592</v>
      </c>
      <c r="C157" s="151" t="s">
        <v>593</v>
      </c>
      <c r="D157" s="173" t="s">
        <v>594</v>
      </c>
      <c r="E157" s="174" t="s">
        <v>178</v>
      </c>
      <c r="F157" s="149">
        <v>18</v>
      </c>
      <c r="G157" s="164">
        <v>22.41</v>
      </c>
      <c r="H157" s="164">
        <f t="shared" si="12"/>
        <v>29.46</v>
      </c>
      <c r="I157" s="167">
        <f t="shared" si="14"/>
        <v>530.28</v>
      </c>
      <c r="J157" s="19"/>
    </row>
    <row r="158" spans="1:10" ht="18" customHeight="1">
      <c r="A158" s="26"/>
      <c r="B158" s="127" t="s">
        <v>595</v>
      </c>
      <c r="C158" s="137" t="s">
        <v>596</v>
      </c>
      <c r="D158" s="173" t="s">
        <v>597</v>
      </c>
      <c r="E158" s="174" t="s">
        <v>178</v>
      </c>
      <c r="F158" s="149">
        <v>17</v>
      </c>
      <c r="G158" s="164">
        <v>121.12</v>
      </c>
      <c r="H158" s="164">
        <f t="shared" si="12"/>
        <v>159.25</v>
      </c>
      <c r="I158" s="167">
        <f t="shared" si="14"/>
        <v>2707.25</v>
      </c>
      <c r="J158" s="19"/>
    </row>
    <row r="159" spans="1:10" ht="18" customHeight="1">
      <c r="A159" s="26"/>
      <c r="B159" s="127" t="s">
        <v>598</v>
      </c>
      <c r="C159" s="151" t="s">
        <v>599</v>
      </c>
      <c r="D159" s="173" t="s">
        <v>600</v>
      </c>
      <c r="E159" s="174" t="s">
        <v>98</v>
      </c>
      <c r="F159" s="149">
        <v>14</v>
      </c>
      <c r="G159" s="164">
        <v>32.32</v>
      </c>
      <c r="H159" s="164">
        <f t="shared" si="12"/>
        <v>42.49</v>
      </c>
      <c r="I159" s="167">
        <f t="shared" si="14"/>
        <v>594.86</v>
      </c>
      <c r="J159" s="19"/>
    </row>
    <row r="160" spans="1:10" ht="18" customHeight="1">
      <c r="A160" s="26"/>
      <c r="B160" s="127" t="s">
        <v>601</v>
      </c>
      <c r="C160" s="151" t="s">
        <v>602</v>
      </c>
      <c r="D160" s="173" t="s">
        <v>603</v>
      </c>
      <c r="E160" s="174" t="s">
        <v>98</v>
      </c>
      <c r="F160" s="149">
        <v>3</v>
      </c>
      <c r="G160" s="164">
        <v>34.63</v>
      </c>
      <c r="H160" s="164">
        <f aca="true" t="shared" si="15" ref="H160:H191">ROUND(G160+(G160*$I$9),2)</f>
        <v>45.53</v>
      </c>
      <c r="I160" s="167">
        <f t="shared" si="14"/>
        <v>136.59</v>
      </c>
      <c r="J160" s="19"/>
    </row>
    <row r="161" spans="1:10" ht="63.75" customHeight="1">
      <c r="A161" s="26"/>
      <c r="B161" s="127" t="s">
        <v>604</v>
      </c>
      <c r="C161" s="151" t="s">
        <v>605</v>
      </c>
      <c r="D161" s="173" t="s">
        <v>606</v>
      </c>
      <c r="E161" s="174" t="s">
        <v>178</v>
      </c>
      <c r="F161" s="149">
        <v>12</v>
      </c>
      <c r="G161" s="164">
        <v>57.88</v>
      </c>
      <c r="H161" s="164">
        <f t="shared" si="15"/>
        <v>76.1</v>
      </c>
      <c r="I161" s="167">
        <f t="shared" si="14"/>
        <v>913.2</v>
      </c>
      <c r="J161" s="19"/>
    </row>
    <row r="162" spans="1:10" ht="40.5" customHeight="1">
      <c r="A162" s="26"/>
      <c r="B162" s="127" t="s">
        <v>607</v>
      </c>
      <c r="C162" s="151" t="s">
        <v>608</v>
      </c>
      <c r="D162" s="173" t="s">
        <v>609</v>
      </c>
      <c r="E162" s="174" t="s">
        <v>178</v>
      </c>
      <c r="F162" s="149">
        <v>8</v>
      </c>
      <c r="G162" s="164">
        <v>323.51</v>
      </c>
      <c r="H162" s="164">
        <f t="shared" si="15"/>
        <v>425.35</v>
      </c>
      <c r="I162" s="167">
        <f t="shared" si="14"/>
        <v>3402.8</v>
      </c>
      <c r="J162" s="19"/>
    </row>
    <row r="163" spans="1:10" ht="27" customHeight="1">
      <c r="A163" s="26"/>
      <c r="B163" s="91">
        <v>12</v>
      </c>
      <c r="C163" s="13"/>
      <c r="D163" s="102" t="s">
        <v>174</v>
      </c>
      <c r="E163" s="176" t="s">
        <v>89</v>
      </c>
      <c r="F163" s="202"/>
      <c r="G163" s="178"/>
      <c r="H163" s="178">
        <f t="shared" si="15"/>
        <v>0</v>
      </c>
      <c r="I163" s="100">
        <f>SUM(I164)</f>
        <v>13148</v>
      </c>
      <c r="J163" s="19"/>
    </row>
    <row r="164" spans="1:10" ht="40.5" customHeight="1">
      <c r="A164" s="26"/>
      <c r="B164" s="127" t="s">
        <v>170</v>
      </c>
      <c r="C164" s="151" t="s">
        <v>176</v>
      </c>
      <c r="D164" s="173" t="s">
        <v>177</v>
      </c>
      <c r="E164" s="174" t="s">
        <v>178</v>
      </c>
      <c r="F164" s="149">
        <v>1</v>
      </c>
      <c r="G164" s="164">
        <v>10000</v>
      </c>
      <c r="H164" s="164">
        <f t="shared" si="15"/>
        <v>13148</v>
      </c>
      <c r="I164" s="167">
        <f>ROUND((F164*H164),2)</f>
        <v>13148</v>
      </c>
      <c r="J164" s="19"/>
    </row>
    <row r="165" spans="1:10" ht="18" customHeight="1">
      <c r="A165" s="26"/>
      <c r="B165" s="91">
        <v>13</v>
      </c>
      <c r="C165" s="13"/>
      <c r="D165" s="102" t="s">
        <v>172</v>
      </c>
      <c r="E165" s="176" t="s">
        <v>89</v>
      </c>
      <c r="F165" s="202"/>
      <c r="G165" s="178"/>
      <c r="H165" s="178">
        <f t="shared" si="15"/>
        <v>0</v>
      </c>
      <c r="I165" s="100">
        <f>SUM(I166:I200)</f>
        <v>48975.329999999994</v>
      </c>
      <c r="J165" s="19"/>
    </row>
    <row r="166" spans="1:10" ht="27.75" customHeight="1">
      <c r="A166" s="26"/>
      <c r="B166" s="127" t="s">
        <v>171</v>
      </c>
      <c r="C166" s="152" t="s">
        <v>610</v>
      </c>
      <c r="D166" s="153" t="s">
        <v>611</v>
      </c>
      <c r="E166" s="215" t="s">
        <v>175</v>
      </c>
      <c r="F166" s="154">
        <v>1</v>
      </c>
      <c r="G166" s="164">
        <v>654.25</v>
      </c>
      <c r="H166" s="164">
        <f t="shared" si="15"/>
        <v>860.21</v>
      </c>
      <c r="I166" s="167">
        <f aca="true" t="shared" si="16" ref="I166:I200">ROUND((F166*H166),2)</f>
        <v>860.21</v>
      </c>
      <c r="J166" s="19"/>
    </row>
    <row r="167" spans="1:10" ht="21.75" customHeight="1">
      <c r="A167" s="26"/>
      <c r="B167" s="127" t="s">
        <v>179</v>
      </c>
      <c r="C167" s="183" t="s">
        <v>180</v>
      </c>
      <c r="D167" s="135" t="s">
        <v>181</v>
      </c>
      <c r="E167" s="172" t="s">
        <v>175</v>
      </c>
      <c r="F167" s="145">
        <v>5</v>
      </c>
      <c r="G167" s="164">
        <v>16.4</v>
      </c>
      <c r="H167" s="164">
        <f t="shared" si="15"/>
        <v>21.56</v>
      </c>
      <c r="I167" s="167">
        <f t="shared" si="16"/>
        <v>107.8</v>
      </c>
      <c r="J167" s="19"/>
    </row>
    <row r="168" spans="1:10" ht="21.75" customHeight="1">
      <c r="A168" s="26"/>
      <c r="B168" s="127" t="s">
        <v>312</v>
      </c>
      <c r="C168" s="183" t="s">
        <v>182</v>
      </c>
      <c r="D168" s="135" t="s">
        <v>183</v>
      </c>
      <c r="E168" s="172" t="s">
        <v>175</v>
      </c>
      <c r="F168" s="145">
        <v>5</v>
      </c>
      <c r="G168" s="164">
        <v>16.4</v>
      </c>
      <c r="H168" s="164">
        <f t="shared" si="15"/>
        <v>21.56</v>
      </c>
      <c r="I168" s="167">
        <f t="shared" si="16"/>
        <v>107.8</v>
      </c>
      <c r="J168" s="19"/>
    </row>
    <row r="169" spans="1:10" ht="21.75" customHeight="1">
      <c r="A169" s="26"/>
      <c r="B169" s="127" t="s">
        <v>313</v>
      </c>
      <c r="C169" s="183" t="s">
        <v>612</v>
      </c>
      <c r="D169" s="135" t="s">
        <v>613</v>
      </c>
      <c r="E169" s="172" t="s">
        <v>175</v>
      </c>
      <c r="F169" s="145">
        <v>2</v>
      </c>
      <c r="G169" s="164">
        <v>16.4</v>
      </c>
      <c r="H169" s="164">
        <f t="shared" si="15"/>
        <v>21.56</v>
      </c>
      <c r="I169" s="167">
        <f t="shared" si="16"/>
        <v>43.12</v>
      </c>
      <c r="J169" s="19"/>
    </row>
    <row r="170" spans="1:10" ht="21.75" customHeight="1">
      <c r="A170" s="26"/>
      <c r="B170" s="127" t="s">
        <v>614</v>
      </c>
      <c r="C170" s="183" t="s">
        <v>615</v>
      </c>
      <c r="D170" s="135" t="s">
        <v>184</v>
      </c>
      <c r="E170" s="172" t="s">
        <v>175</v>
      </c>
      <c r="F170" s="145">
        <v>5</v>
      </c>
      <c r="G170" s="164">
        <v>40.59</v>
      </c>
      <c r="H170" s="164">
        <f t="shared" si="15"/>
        <v>53.37</v>
      </c>
      <c r="I170" s="167">
        <f t="shared" si="16"/>
        <v>266.85</v>
      </c>
      <c r="J170" s="19"/>
    </row>
    <row r="171" spans="1:10" ht="21.75" customHeight="1">
      <c r="A171" s="26"/>
      <c r="B171" s="127" t="s">
        <v>616</v>
      </c>
      <c r="C171" s="183" t="s">
        <v>617</v>
      </c>
      <c r="D171" s="135" t="s">
        <v>185</v>
      </c>
      <c r="E171" s="172" t="s">
        <v>175</v>
      </c>
      <c r="F171" s="145">
        <v>7</v>
      </c>
      <c r="G171" s="164">
        <v>40.59</v>
      </c>
      <c r="H171" s="164">
        <f t="shared" si="15"/>
        <v>53.37</v>
      </c>
      <c r="I171" s="167">
        <f t="shared" si="16"/>
        <v>373.59</v>
      </c>
      <c r="J171" s="19"/>
    </row>
    <row r="172" spans="1:10" ht="21.75" customHeight="1">
      <c r="A172" s="26"/>
      <c r="B172" s="127" t="s">
        <v>618</v>
      </c>
      <c r="C172" s="183" t="s">
        <v>619</v>
      </c>
      <c r="D172" s="135" t="s">
        <v>186</v>
      </c>
      <c r="E172" s="172" t="s">
        <v>175</v>
      </c>
      <c r="F172" s="145">
        <v>5</v>
      </c>
      <c r="G172" s="164">
        <v>93.77</v>
      </c>
      <c r="H172" s="164">
        <f t="shared" si="15"/>
        <v>123.29</v>
      </c>
      <c r="I172" s="167">
        <f t="shared" si="16"/>
        <v>616.45</v>
      </c>
      <c r="J172" s="19"/>
    </row>
    <row r="173" spans="1:10" ht="27.75" customHeight="1">
      <c r="A173" s="26"/>
      <c r="B173" s="127" t="s">
        <v>620</v>
      </c>
      <c r="C173" s="183" t="s">
        <v>187</v>
      </c>
      <c r="D173" s="166" t="s">
        <v>188</v>
      </c>
      <c r="E173" s="172" t="s">
        <v>175</v>
      </c>
      <c r="F173" s="145">
        <v>4</v>
      </c>
      <c r="G173" s="164">
        <v>66.71</v>
      </c>
      <c r="H173" s="164">
        <f t="shared" si="15"/>
        <v>87.71</v>
      </c>
      <c r="I173" s="167">
        <f t="shared" si="16"/>
        <v>350.84</v>
      </c>
      <c r="J173" s="19"/>
    </row>
    <row r="174" spans="1:10" ht="30.75" customHeight="1">
      <c r="A174" s="26"/>
      <c r="B174" s="127" t="s">
        <v>621</v>
      </c>
      <c r="C174" s="155" t="s">
        <v>189</v>
      </c>
      <c r="D174" s="135" t="s">
        <v>622</v>
      </c>
      <c r="E174" s="172" t="s">
        <v>175</v>
      </c>
      <c r="F174" s="145">
        <v>10</v>
      </c>
      <c r="G174" s="164">
        <v>121.71</v>
      </c>
      <c r="H174" s="164">
        <f t="shared" si="15"/>
        <v>160.02</v>
      </c>
      <c r="I174" s="167">
        <f t="shared" si="16"/>
        <v>1600.2</v>
      </c>
      <c r="J174" s="19"/>
    </row>
    <row r="175" spans="1:10" ht="31.5" customHeight="1">
      <c r="A175" s="26"/>
      <c r="B175" s="127" t="s">
        <v>623</v>
      </c>
      <c r="C175" s="155" t="s">
        <v>624</v>
      </c>
      <c r="D175" s="135" t="s">
        <v>625</v>
      </c>
      <c r="E175" s="130" t="s">
        <v>175</v>
      </c>
      <c r="F175" s="145">
        <v>5</v>
      </c>
      <c r="G175" s="164">
        <v>131.71</v>
      </c>
      <c r="H175" s="164">
        <f t="shared" si="15"/>
        <v>173.17</v>
      </c>
      <c r="I175" s="167">
        <f t="shared" si="16"/>
        <v>865.85</v>
      </c>
      <c r="J175" s="19"/>
    </row>
    <row r="176" spans="1:10" ht="18" customHeight="1">
      <c r="A176" s="26"/>
      <c r="B176" s="127" t="s">
        <v>626</v>
      </c>
      <c r="C176" s="156" t="s">
        <v>190</v>
      </c>
      <c r="D176" s="144" t="s">
        <v>191</v>
      </c>
      <c r="E176" s="130" t="s">
        <v>175</v>
      </c>
      <c r="F176" s="150">
        <v>50</v>
      </c>
      <c r="G176" s="164">
        <v>5.6</v>
      </c>
      <c r="H176" s="164">
        <f t="shared" si="15"/>
        <v>7.36</v>
      </c>
      <c r="I176" s="167">
        <f t="shared" si="16"/>
        <v>368</v>
      </c>
      <c r="J176" s="19"/>
    </row>
    <row r="177" spans="1:10" ht="18" customHeight="1">
      <c r="A177" s="26"/>
      <c r="B177" s="127" t="s">
        <v>627</v>
      </c>
      <c r="C177" s="156" t="s">
        <v>628</v>
      </c>
      <c r="D177" s="144" t="s">
        <v>629</v>
      </c>
      <c r="E177" s="130" t="s">
        <v>175</v>
      </c>
      <c r="F177" s="150">
        <v>10</v>
      </c>
      <c r="G177" s="164">
        <v>7.04</v>
      </c>
      <c r="H177" s="164">
        <f t="shared" si="15"/>
        <v>9.26</v>
      </c>
      <c r="I177" s="167">
        <f t="shared" si="16"/>
        <v>92.6</v>
      </c>
      <c r="J177" s="19"/>
    </row>
    <row r="178" spans="1:10" ht="27.75" customHeight="1">
      <c r="A178" s="26"/>
      <c r="B178" s="127" t="s">
        <v>630</v>
      </c>
      <c r="C178" s="156" t="s">
        <v>192</v>
      </c>
      <c r="D178" s="144" t="s">
        <v>193</v>
      </c>
      <c r="E178" s="130" t="s">
        <v>175</v>
      </c>
      <c r="F178" s="150">
        <v>50</v>
      </c>
      <c r="G178" s="164">
        <v>6.04</v>
      </c>
      <c r="H178" s="164">
        <f t="shared" si="15"/>
        <v>7.94</v>
      </c>
      <c r="I178" s="167">
        <f t="shared" si="16"/>
        <v>397</v>
      </c>
      <c r="J178" s="19"/>
    </row>
    <row r="179" spans="1:10" ht="27.75" customHeight="1">
      <c r="A179" s="26"/>
      <c r="B179" s="127" t="s">
        <v>631</v>
      </c>
      <c r="C179" s="156" t="s">
        <v>632</v>
      </c>
      <c r="D179" s="144" t="s">
        <v>633</v>
      </c>
      <c r="E179" s="130" t="s">
        <v>175</v>
      </c>
      <c r="F179" s="150">
        <v>5</v>
      </c>
      <c r="G179" s="164">
        <v>190.83</v>
      </c>
      <c r="H179" s="164">
        <f t="shared" si="15"/>
        <v>250.9</v>
      </c>
      <c r="I179" s="167">
        <f t="shared" si="16"/>
        <v>1254.5</v>
      </c>
      <c r="J179" s="19"/>
    </row>
    <row r="180" spans="1:10" ht="27.75" customHeight="1">
      <c r="A180" s="26"/>
      <c r="B180" s="127" t="s">
        <v>634</v>
      </c>
      <c r="C180" s="156" t="s">
        <v>194</v>
      </c>
      <c r="D180" s="144" t="s">
        <v>195</v>
      </c>
      <c r="E180" s="130" t="s">
        <v>175</v>
      </c>
      <c r="F180" s="150">
        <v>2</v>
      </c>
      <c r="G180" s="164">
        <v>171.29</v>
      </c>
      <c r="H180" s="164">
        <f t="shared" si="15"/>
        <v>225.21</v>
      </c>
      <c r="I180" s="167">
        <f t="shared" si="16"/>
        <v>450.42</v>
      </c>
      <c r="J180" s="19"/>
    </row>
    <row r="181" spans="1:10" ht="45.75" customHeight="1">
      <c r="A181" s="26"/>
      <c r="B181" s="127" t="s">
        <v>635</v>
      </c>
      <c r="C181" s="156" t="s">
        <v>196</v>
      </c>
      <c r="D181" s="144" t="s">
        <v>197</v>
      </c>
      <c r="E181" s="216" t="s">
        <v>198</v>
      </c>
      <c r="F181" s="150">
        <v>100</v>
      </c>
      <c r="G181" s="164">
        <v>18.54</v>
      </c>
      <c r="H181" s="164">
        <f t="shared" si="15"/>
        <v>24.38</v>
      </c>
      <c r="I181" s="167">
        <f t="shared" si="16"/>
        <v>2438</v>
      </c>
      <c r="J181" s="19"/>
    </row>
    <row r="182" spans="1:10" ht="19.5" customHeight="1">
      <c r="A182" s="26"/>
      <c r="B182" s="127" t="s">
        <v>636</v>
      </c>
      <c r="C182" s="216" t="s">
        <v>199</v>
      </c>
      <c r="D182" s="144" t="s">
        <v>200</v>
      </c>
      <c r="E182" s="216" t="s">
        <v>198</v>
      </c>
      <c r="F182" s="150">
        <v>300</v>
      </c>
      <c r="G182" s="164">
        <v>4.65</v>
      </c>
      <c r="H182" s="164">
        <f t="shared" si="15"/>
        <v>6.11</v>
      </c>
      <c r="I182" s="167">
        <f t="shared" si="16"/>
        <v>1833</v>
      </c>
      <c r="J182" s="19"/>
    </row>
    <row r="183" spans="1:10" ht="19.5" customHeight="1">
      <c r="A183" s="26"/>
      <c r="B183" s="127" t="s">
        <v>637</v>
      </c>
      <c r="C183" s="216" t="s">
        <v>201</v>
      </c>
      <c r="D183" s="144" t="s">
        <v>202</v>
      </c>
      <c r="E183" s="216" t="s">
        <v>198</v>
      </c>
      <c r="F183" s="150">
        <v>500</v>
      </c>
      <c r="G183" s="164">
        <v>6.87</v>
      </c>
      <c r="H183" s="164">
        <f t="shared" si="15"/>
        <v>9.03</v>
      </c>
      <c r="I183" s="167">
        <f t="shared" si="16"/>
        <v>4515</v>
      </c>
      <c r="J183" s="19"/>
    </row>
    <row r="184" spans="1:10" ht="19.5" customHeight="1">
      <c r="A184" s="26"/>
      <c r="B184" s="127" t="s">
        <v>638</v>
      </c>
      <c r="C184" s="216" t="s">
        <v>123</v>
      </c>
      <c r="D184" s="144" t="s">
        <v>203</v>
      </c>
      <c r="E184" s="216" t="s">
        <v>198</v>
      </c>
      <c r="F184" s="150">
        <v>1000</v>
      </c>
      <c r="G184" s="164">
        <v>1.82</v>
      </c>
      <c r="H184" s="164">
        <f t="shared" si="15"/>
        <v>2.39</v>
      </c>
      <c r="I184" s="167">
        <f t="shared" si="16"/>
        <v>2390</v>
      </c>
      <c r="J184" s="19"/>
    </row>
    <row r="185" spans="1:10" ht="19.5" customHeight="1">
      <c r="A185" s="26"/>
      <c r="B185" s="127" t="s">
        <v>639</v>
      </c>
      <c r="C185" s="216" t="s">
        <v>640</v>
      </c>
      <c r="D185" s="144" t="s">
        <v>641</v>
      </c>
      <c r="E185" s="216" t="s">
        <v>198</v>
      </c>
      <c r="F185" s="150">
        <v>500</v>
      </c>
      <c r="G185" s="164">
        <v>2.64</v>
      </c>
      <c r="H185" s="164">
        <f t="shared" si="15"/>
        <v>3.47</v>
      </c>
      <c r="I185" s="167">
        <f t="shared" si="16"/>
        <v>1735</v>
      </c>
      <c r="J185" s="19"/>
    </row>
    <row r="186" spans="1:10" ht="19.5" customHeight="1">
      <c r="A186" s="26"/>
      <c r="B186" s="127" t="s">
        <v>642</v>
      </c>
      <c r="C186" s="216" t="s">
        <v>124</v>
      </c>
      <c r="D186" s="144" t="s">
        <v>204</v>
      </c>
      <c r="E186" s="216" t="s">
        <v>198</v>
      </c>
      <c r="F186" s="150">
        <v>500</v>
      </c>
      <c r="G186" s="164">
        <v>3.66</v>
      </c>
      <c r="H186" s="164">
        <f t="shared" si="15"/>
        <v>4.81</v>
      </c>
      <c r="I186" s="167">
        <f t="shared" si="16"/>
        <v>2405</v>
      </c>
      <c r="J186" s="19"/>
    </row>
    <row r="187" spans="1:10" ht="18.75" customHeight="1">
      <c r="A187" s="26"/>
      <c r="B187" s="127" t="s">
        <v>643</v>
      </c>
      <c r="C187" s="216" t="s">
        <v>205</v>
      </c>
      <c r="D187" s="144" t="s">
        <v>206</v>
      </c>
      <c r="E187" s="216" t="s">
        <v>198</v>
      </c>
      <c r="F187" s="150">
        <v>200</v>
      </c>
      <c r="G187" s="164">
        <v>2.17</v>
      </c>
      <c r="H187" s="164">
        <f t="shared" si="15"/>
        <v>2.85</v>
      </c>
      <c r="I187" s="167">
        <f t="shared" si="16"/>
        <v>570</v>
      </c>
      <c r="J187" s="19"/>
    </row>
    <row r="188" spans="1:10" ht="18.75" customHeight="1">
      <c r="A188" s="26"/>
      <c r="B188" s="127" t="s">
        <v>644</v>
      </c>
      <c r="C188" s="216" t="s">
        <v>207</v>
      </c>
      <c r="D188" s="144" t="s">
        <v>645</v>
      </c>
      <c r="E188" s="216" t="s">
        <v>198</v>
      </c>
      <c r="F188" s="150">
        <v>100</v>
      </c>
      <c r="G188" s="164">
        <v>17.08</v>
      </c>
      <c r="H188" s="164">
        <f t="shared" si="15"/>
        <v>22.46</v>
      </c>
      <c r="I188" s="167">
        <f t="shared" si="16"/>
        <v>2246</v>
      </c>
      <c r="J188" s="19"/>
    </row>
    <row r="189" spans="1:10" ht="18.75" customHeight="1">
      <c r="A189" s="26"/>
      <c r="B189" s="127" t="s">
        <v>646</v>
      </c>
      <c r="C189" s="216" t="s">
        <v>208</v>
      </c>
      <c r="D189" s="144" t="s">
        <v>209</v>
      </c>
      <c r="E189" s="216" t="s">
        <v>175</v>
      </c>
      <c r="F189" s="150">
        <v>10</v>
      </c>
      <c r="G189" s="164">
        <v>36.6</v>
      </c>
      <c r="H189" s="164">
        <f t="shared" si="15"/>
        <v>48.12</v>
      </c>
      <c r="I189" s="167">
        <f t="shared" si="16"/>
        <v>481.2</v>
      </c>
      <c r="J189" s="19"/>
    </row>
    <row r="190" spans="1:10" ht="18.75" customHeight="1">
      <c r="A190" s="26"/>
      <c r="B190" s="127" t="s">
        <v>647</v>
      </c>
      <c r="C190" s="216" t="s">
        <v>210</v>
      </c>
      <c r="D190" s="144" t="s">
        <v>211</v>
      </c>
      <c r="E190" s="216" t="s">
        <v>154</v>
      </c>
      <c r="F190" s="150">
        <v>6</v>
      </c>
      <c r="G190" s="164">
        <v>20.2</v>
      </c>
      <c r="H190" s="164">
        <f t="shared" si="15"/>
        <v>26.56</v>
      </c>
      <c r="I190" s="167">
        <f t="shared" si="16"/>
        <v>159.36</v>
      </c>
      <c r="J190" s="19"/>
    </row>
    <row r="191" spans="1:10" ht="18.75" customHeight="1">
      <c r="A191" s="26"/>
      <c r="B191" s="127" t="s">
        <v>648</v>
      </c>
      <c r="C191" s="216" t="s">
        <v>649</v>
      </c>
      <c r="D191" s="144" t="s">
        <v>650</v>
      </c>
      <c r="E191" s="216" t="s">
        <v>154</v>
      </c>
      <c r="F191" s="150">
        <v>4</v>
      </c>
      <c r="G191" s="164">
        <v>27.4</v>
      </c>
      <c r="H191" s="164">
        <f t="shared" si="15"/>
        <v>36.03</v>
      </c>
      <c r="I191" s="167">
        <f t="shared" si="16"/>
        <v>144.12</v>
      </c>
      <c r="J191" s="19"/>
    </row>
    <row r="192" spans="1:10" ht="18.75" customHeight="1">
      <c r="A192" s="26"/>
      <c r="B192" s="127" t="s">
        <v>651</v>
      </c>
      <c r="C192" s="216" t="s">
        <v>212</v>
      </c>
      <c r="D192" s="144" t="s">
        <v>213</v>
      </c>
      <c r="E192" s="216" t="s">
        <v>175</v>
      </c>
      <c r="F192" s="150">
        <v>20</v>
      </c>
      <c r="G192" s="164">
        <v>12.17</v>
      </c>
      <c r="H192" s="164">
        <f aca="true" t="shared" si="17" ref="H192:H217">ROUND(G192+(G192*$I$9),2)</f>
        <v>16</v>
      </c>
      <c r="I192" s="167">
        <f t="shared" si="16"/>
        <v>320</v>
      </c>
      <c r="J192" s="19"/>
    </row>
    <row r="193" spans="1:10" ht="29.25" customHeight="1">
      <c r="A193" s="26"/>
      <c r="B193" s="127" t="s">
        <v>652</v>
      </c>
      <c r="C193" s="216" t="s">
        <v>214</v>
      </c>
      <c r="D193" s="144" t="s">
        <v>653</v>
      </c>
      <c r="E193" s="216" t="s">
        <v>175</v>
      </c>
      <c r="F193" s="150">
        <v>10</v>
      </c>
      <c r="G193" s="164">
        <v>136.6</v>
      </c>
      <c r="H193" s="164">
        <f t="shared" si="17"/>
        <v>179.6</v>
      </c>
      <c r="I193" s="167">
        <f t="shared" si="16"/>
        <v>1796</v>
      </c>
      <c r="J193" s="19"/>
    </row>
    <row r="194" spans="1:10" ht="27.75" customHeight="1">
      <c r="A194" s="26"/>
      <c r="B194" s="127" t="s">
        <v>654</v>
      </c>
      <c r="C194" s="216" t="s">
        <v>215</v>
      </c>
      <c r="D194" s="144" t="s">
        <v>266</v>
      </c>
      <c r="E194" s="216" t="s">
        <v>175</v>
      </c>
      <c r="F194" s="150">
        <v>30</v>
      </c>
      <c r="G194" s="164">
        <v>152.07</v>
      </c>
      <c r="H194" s="164">
        <f t="shared" si="17"/>
        <v>199.94</v>
      </c>
      <c r="I194" s="167">
        <f t="shared" si="16"/>
        <v>5998.2</v>
      </c>
      <c r="J194" s="19"/>
    </row>
    <row r="195" spans="1:10" ht="40.5" customHeight="1">
      <c r="A195" s="26"/>
      <c r="B195" s="127" t="s">
        <v>655</v>
      </c>
      <c r="C195" s="216" t="s">
        <v>216</v>
      </c>
      <c r="D195" s="144" t="s">
        <v>267</v>
      </c>
      <c r="E195" s="216" t="s">
        <v>175</v>
      </c>
      <c r="F195" s="150">
        <v>12</v>
      </c>
      <c r="G195" s="164">
        <v>540.39</v>
      </c>
      <c r="H195" s="164">
        <f t="shared" si="17"/>
        <v>710.5</v>
      </c>
      <c r="I195" s="167">
        <f t="shared" si="16"/>
        <v>8526</v>
      </c>
      <c r="J195" s="19"/>
    </row>
    <row r="196" spans="1:10" ht="30.75" customHeight="1">
      <c r="A196" s="26"/>
      <c r="B196" s="127" t="s">
        <v>656</v>
      </c>
      <c r="C196" s="216" t="s">
        <v>657</v>
      </c>
      <c r="D196" s="144" t="s">
        <v>658</v>
      </c>
      <c r="E196" s="216" t="s">
        <v>175</v>
      </c>
      <c r="F196" s="150">
        <v>5</v>
      </c>
      <c r="G196" s="164">
        <v>416.43</v>
      </c>
      <c r="H196" s="164">
        <f t="shared" si="17"/>
        <v>547.52</v>
      </c>
      <c r="I196" s="167">
        <f t="shared" si="16"/>
        <v>2737.6</v>
      </c>
      <c r="J196" s="19"/>
    </row>
    <row r="197" spans="1:10" ht="15.75" customHeight="1">
      <c r="A197" s="26"/>
      <c r="B197" s="127" t="s">
        <v>659</v>
      </c>
      <c r="C197" s="216" t="s">
        <v>217</v>
      </c>
      <c r="D197" s="144" t="s">
        <v>218</v>
      </c>
      <c r="E197" s="216" t="s">
        <v>175</v>
      </c>
      <c r="F197" s="150">
        <v>40</v>
      </c>
      <c r="G197" s="164">
        <v>21.26</v>
      </c>
      <c r="H197" s="164">
        <f t="shared" si="17"/>
        <v>27.95</v>
      </c>
      <c r="I197" s="167">
        <f t="shared" si="16"/>
        <v>1118</v>
      </c>
      <c r="J197" s="19"/>
    </row>
    <row r="198" spans="1:10" ht="20.25" customHeight="1">
      <c r="A198" s="26"/>
      <c r="B198" s="127" t="s">
        <v>660</v>
      </c>
      <c r="C198" s="216" t="s">
        <v>219</v>
      </c>
      <c r="D198" s="144" t="s">
        <v>220</v>
      </c>
      <c r="E198" s="216" t="s">
        <v>175</v>
      </c>
      <c r="F198" s="150">
        <v>5</v>
      </c>
      <c r="G198" s="164">
        <v>21.26</v>
      </c>
      <c r="H198" s="164">
        <f t="shared" si="17"/>
        <v>27.95</v>
      </c>
      <c r="I198" s="167">
        <f t="shared" si="16"/>
        <v>139.75</v>
      </c>
      <c r="J198" s="19"/>
    </row>
    <row r="199" spans="1:10" ht="16.5" customHeight="1">
      <c r="A199" s="26"/>
      <c r="B199" s="127" t="s">
        <v>661</v>
      </c>
      <c r="C199" s="216" t="s">
        <v>662</v>
      </c>
      <c r="D199" s="146" t="s">
        <v>663</v>
      </c>
      <c r="E199" s="174" t="s">
        <v>178</v>
      </c>
      <c r="F199" s="149">
        <v>13</v>
      </c>
      <c r="G199" s="164">
        <v>58.63</v>
      </c>
      <c r="H199" s="164">
        <f t="shared" si="17"/>
        <v>77.09</v>
      </c>
      <c r="I199" s="167">
        <f t="shared" si="16"/>
        <v>1002.17</v>
      </c>
      <c r="J199" s="19"/>
    </row>
    <row r="200" spans="1:10" ht="16.5" customHeight="1">
      <c r="A200" s="26"/>
      <c r="B200" s="127" t="s">
        <v>664</v>
      </c>
      <c r="C200" s="216" t="s">
        <v>665</v>
      </c>
      <c r="D200" s="144" t="s">
        <v>666</v>
      </c>
      <c r="E200" s="216" t="s">
        <v>175</v>
      </c>
      <c r="F200" s="150">
        <v>10</v>
      </c>
      <c r="G200" s="164">
        <v>50.63</v>
      </c>
      <c r="H200" s="164">
        <f t="shared" si="17"/>
        <v>66.57</v>
      </c>
      <c r="I200" s="167">
        <f t="shared" si="16"/>
        <v>665.7</v>
      </c>
      <c r="J200" s="19"/>
    </row>
    <row r="201" spans="1:10" ht="16.5" customHeight="1">
      <c r="A201" s="26"/>
      <c r="B201" s="91">
        <v>14</v>
      </c>
      <c r="C201" s="13"/>
      <c r="D201" s="102" t="s">
        <v>173</v>
      </c>
      <c r="E201" s="176" t="s">
        <v>89</v>
      </c>
      <c r="F201" s="202"/>
      <c r="G201" s="178"/>
      <c r="H201" s="178">
        <f t="shared" si="17"/>
        <v>0</v>
      </c>
      <c r="I201" s="100">
        <f>SUM(I202:I215)</f>
        <v>7687.1900000000005</v>
      </c>
      <c r="J201" s="19"/>
    </row>
    <row r="202" spans="1:10" ht="18.75" customHeight="1">
      <c r="A202" s="26"/>
      <c r="B202" s="127" t="s">
        <v>314</v>
      </c>
      <c r="C202" s="216" t="s">
        <v>667</v>
      </c>
      <c r="D202" s="144" t="s">
        <v>668</v>
      </c>
      <c r="E202" s="216" t="s">
        <v>175</v>
      </c>
      <c r="F202" s="150">
        <v>20</v>
      </c>
      <c r="G202" s="164">
        <v>9.64</v>
      </c>
      <c r="H202" s="164">
        <f t="shared" si="17"/>
        <v>12.67</v>
      </c>
      <c r="I202" s="167">
        <f aca="true" t="shared" si="18" ref="I202:I215">ROUND((F202*H202),2)</f>
        <v>253.4</v>
      </c>
      <c r="J202" s="19"/>
    </row>
    <row r="203" spans="1:10" ht="18.75" customHeight="1">
      <c r="A203" s="26"/>
      <c r="B203" s="127" t="s">
        <v>669</v>
      </c>
      <c r="C203" s="216" t="s">
        <v>221</v>
      </c>
      <c r="D203" s="144" t="s">
        <v>222</v>
      </c>
      <c r="E203" s="216" t="s">
        <v>175</v>
      </c>
      <c r="F203" s="150">
        <v>70</v>
      </c>
      <c r="G203" s="164">
        <v>18.77</v>
      </c>
      <c r="H203" s="164">
        <f t="shared" si="17"/>
        <v>24.68</v>
      </c>
      <c r="I203" s="167">
        <f t="shared" si="18"/>
        <v>1727.6</v>
      </c>
      <c r="J203" s="19"/>
    </row>
    <row r="204" spans="1:10" ht="18.75" customHeight="1">
      <c r="A204" s="26"/>
      <c r="B204" s="127" t="s">
        <v>670</v>
      </c>
      <c r="C204" s="216" t="s">
        <v>223</v>
      </c>
      <c r="D204" s="144" t="s">
        <v>224</v>
      </c>
      <c r="E204" s="216" t="s">
        <v>175</v>
      </c>
      <c r="F204" s="150">
        <v>80</v>
      </c>
      <c r="G204" s="164">
        <v>26.13</v>
      </c>
      <c r="H204" s="164">
        <f t="shared" si="17"/>
        <v>34.36</v>
      </c>
      <c r="I204" s="167">
        <f t="shared" si="18"/>
        <v>2748.8</v>
      </c>
      <c r="J204" s="19"/>
    </row>
    <row r="205" spans="1:10" ht="24.75" customHeight="1">
      <c r="A205" s="26"/>
      <c r="B205" s="127" t="s">
        <v>671</v>
      </c>
      <c r="C205" s="216" t="s">
        <v>225</v>
      </c>
      <c r="D205" s="144" t="s">
        <v>226</v>
      </c>
      <c r="E205" s="216" t="s">
        <v>175</v>
      </c>
      <c r="F205" s="150">
        <v>1</v>
      </c>
      <c r="G205" s="164">
        <v>163.71</v>
      </c>
      <c r="H205" s="164">
        <f t="shared" si="17"/>
        <v>215.25</v>
      </c>
      <c r="I205" s="167">
        <f t="shared" si="18"/>
        <v>215.25</v>
      </c>
      <c r="J205" s="19"/>
    </row>
    <row r="206" spans="1:10" ht="17.25" customHeight="1">
      <c r="A206" s="26"/>
      <c r="B206" s="127" t="s">
        <v>672</v>
      </c>
      <c r="C206" s="216" t="s">
        <v>227</v>
      </c>
      <c r="D206" s="144" t="s">
        <v>228</v>
      </c>
      <c r="E206" s="216" t="s">
        <v>175</v>
      </c>
      <c r="F206" s="150">
        <v>4</v>
      </c>
      <c r="G206" s="164">
        <v>82.44</v>
      </c>
      <c r="H206" s="164">
        <f t="shared" si="17"/>
        <v>108.39</v>
      </c>
      <c r="I206" s="167">
        <f t="shared" si="18"/>
        <v>433.56</v>
      </c>
      <c r="J206" s="19"/>
    </row>
    <row r="207" spans="1:10" ht="24.75" customHeight="1">
      <c r="A207" s="26"/>
      <c r="B207" s="127" t="s">
        <v>673</v>
      </c>
      <c r="C207" s="216" t="s">
        <v>229</v>
      </c>
      <c r="D207" s="144" t="s">
        <v>674</v>
      </c>
      <c r="E207" s="216" t="s">
        <v>175</v>
      </c>
      <c r="F207" s="150">
        <v>100</v>
      </c>
      <c r="G207" s="164">
        <v>2.16</v>
      </c>
      <c r="H207" s="164">
        <f t="shared" si="17"/>
        <v>2.84</v>
      </c>
      <c r="I207" s="167">
        <f t="shared" si="18"/>
        <v>284</v>
      </c>
      <c r="J207" s="19"/>
    </row>
    <row r="208" spans="1:10" ht="18" customHeight="1">
      <c r="A208" s="26"/>
      <c r="B208" s="127" t="s">
        <v>675</v>
      </c>
      <c r="C208" s="216" t="s">
        <v>230</v>
      </c>
      <c r="D208" s="144" t="s">
        <v>231</v>
      </c>
      <c r="E208" s="216" t="s">
        <v>175</v>
      </c>
      <c r="F208" s="150">
        <v>10</v>
      </c>
      <c r="G208" s="164">
        <v>6.17</v>
      </c>
      <c r="H208" s="164">
        <f t="shared" si="17"/>
        <v>8.11</v>
      </c>
      <c r="I208" s="167">
        <f t="shared" si="18"/>
        <v>81.1</v>
      </c>
      <c r="J208" s="19"/>
    </row>
    <row r="209" spans="1:10" ht="19.5" customHeight="1">
      <c r="A209" s="26"/>
      <c r="B209" s="127" t="s">
        <v>676</v>
      </c>
      <c r="C209" s="216" t="s">
        <v>232</v>
      </c>
      <c r="D209" s="144" t="s">
        <v>233</v>
      </c>
      <c r="E209" s="216" t="s">
        <v>175</v>
      </c>
      <c r="F209" s="150">
        <v>10</v>
      </c>
      <c r="G209" s="164">
        <v>14.49</v>
      </c>
      <c r="H209" s="164">
        <f t="shared" si="17"/>
        <v>19.05</v>
      </c>
      <c r="I209" s="167">
        <f t="shared" si="18"/>
        <v>190.5</v>
      </c>
      <c r="J209" s="19"/>
    </row>
    <row r="210" spans="1:10" ht="24.75" customHeight="1">
      <c r="A210" s="26"/>
      <c r="B210" s="127" t="s">
        <v>677</v>
      </c>
      <c r="C210" s="216" t="s">
        <v>234</v>
      </c>
      <c r="D210" s="144" t="s">
        <v>678</v>
      </c>
      <c r="E210" s="216" t="s">
        <v>175</v>
      </c>
      <c r="F210" s="150">
        <v>6</v>
      </c>
      <c r="G210" s="164">
        <v>77.07</v>
      </c>
      <c r="H210" s="164">
        <f t="shared" si="17"/>
        <v>101.33</v>
      </c>
      <c r="I210" s="167">
        <f t="shared" si="18"/>
        <v>607.98</v>
      </c>
      <c r="J210" s="19"/>
    </row>
    <row r="211" spans="1:10" ht="24.75" customHeight="1">
      <c r="A211" s="26"/>
      <c r="B211" s="127" t="s">
        <v>679</v>
      </c>
      <c r="C211" s="216" t="s">
        <v>235</v>
      </c>
      <c r="D211" s="144" t="s">
        <v>236</v>
      </c>
      <c r="E211" s="216" t="s">
        <v>175</v>
      </c>
      <c r="F211" s="150">
        <v>6</v>
      </c>
      <c r="G211" s="164">
        <v>24.42</v>
      </c>
      <c r="H211" s="164">
        <f t="shared" si="17"/>
        <v>32.11</v>
      </c>
      <c r="I211" s="167">
        <f t="shared" si="18"/>
        <v>192.66</v>
      </c>
      <c r="J211" s="19"/>
    </row>
    <row r="212" spans="1:10" ht="15.75" customHeight="1">
      <c r="A212" s="26"/>
      <c r="B212" s="127" t="s">
        <v>680</v>
      </c>
      <c r="C212" s="216" t="s">
        <v>237</v>
      </c>
      <c r="D212" s="144" t="s">
        <v>238</v>
      </c>
      <c r="E212" s="216" t="s">
        <v>175</v>
      </c>
      <c r="F212" s="150">
        <v>10</v>
      </c>
      <c r="G212" s="164">
        <v>6.95</v>
      </c>
      <c r="H212" s="164">
        <f t="shared" si="17"/>
        <v>9.14</v>
      </c>
      <c r="I212" s="167">
        <f t="shared" si="18"/>
        <v>91.4</v>
      </c>
      <c r="J212" s="19"/>
    </row>
    <row r="213" spans="1:10" ht="24.75" customHeight="1">
      <c r="A213" s="26"/>
      <c r="B213" s="127" t="s">
        <v>681</v>
      </c>
      <c r="C213" s="216" t="s">
        <v>239</v>
      </c>
      <c r="D213" s="144" t="s">
        <v>682</v>
      </c>
      <c r="E213" s="216" t="s">
        <v>175</v>
      </c>
      <c r="F213" s="150">
        <v>6</v>
      </c>
      <c r="G213" s="164">
        <v>17.07</v>
      </c>
      <c r="H213" s="164">
        <f t="shared" si="17"/>
        <v>22.44</v>
      </c>
      <c r="I213" s="167">
        <f t="shared" si="18"/>
        <v>134.64</v>
      </c>
      <c r="J213" s="19"/>
    </row>
    <row r="214" spans="1:10" ht="24.75" customHeight="1">
      <c r="A214" s="26"/>
      <c r="B214" s="127" t="s">
        <v>683</v>
      </c>
      <c r="C214" s="216" t="s">
        <v>240</v>
      </c>
      <c r="D214" s="144" t="s">
        <v>241</v>
      </c>
      <c r="E214" s="216" t="s">
        <v>175</v>
      </c>
      <c r="F214" s="150">
        <v>6</v>
      </c>
      <c r="G214" s="164">
        <v>20.18</v>
      </c>
      <c r="H214" s="164">
        <f t="shared" si="17"/>
        <v>26.53</v>
      </c>
      <c r="I214" s="167">
        <f t="shared" si="18"/>
        <v>159.18</v>
      </c>
      <c r="J214" s="19"/>
    </row>
    <row r="215" spans="1:10" ht="18" customHeight="1">
      <c r="A215" s="26"/>
      <c r="B215" s="127" t="s">
        <v>684</v>
      </c>
      <c r="C215" s="216" t="s">
        <v>242</v>
      </c>
      <c r="D215" s="144" t="s">
        <v>243</v>
      </c>
      <c r="E215" s="216" t="s">
        <v>175</v>
      </c>
      <c r="F215" s="150">
        <v>6</v>
      </c>
      <c r="G215" s="164">
        <v>71.89</v>
      </c>
      <c r="H215" s="164">
        <f t="shared" si="17"/>
        <v>94.52</v>
      </c>
      <c r="I215" s="167">
        <f t="shared" si="18"/>
        <v>567.12</v>
      </c>
      <c r="J215" s="19"/>
    </row>
    <row r="216" spans="1:10" ht="15.75" customHeight="1">
      <c r="A216" s="26"/>
      <c r="B216" s="91">
        <v>15</v>
      </c>
      <c r="C216" s="13"/>
      <c r="D216" s="102" t="s">
        <v>685</v>
      </c>
      <c r="E216" s="176"/>
      <c r="F216" s="202"/>
      <c r="G216" s="178"/>
      <c r="H216" s="178">
        <f t="shared" si="17"/>
        <v>0</v>
      </c>
      <c r="I216" s="100">
        <f>SUM(I217)</f>
        <v>5703.62</v>
      </c>
      <c r="J216" s="19"/>
    </row>
    <row r="217" spans="1:10" ht="15.75" customHeight="1">
      <c r="A217" s="26"/>
      <c r="B217" s="127" t="s">
        <v>103</v>
      </c>
      <c r="C217" s="151" t="s">
        <v>686</v>
      </c>
      <c r="D217" s="173" t="s">
        <v>100</v>
      </c>
      <c r="E217" s="174" t="s">
        <v>27</v>
      </c>
      <c r="F217" s="149">
        <v>1042.71</v>
      </c>
      <c r="G217" s="164">
        <v>4.16</v>
      </c>
      <c r="H217" s="164">
        <f t="shared" si="17"/>
        <v>5.47</v>
      </c>
      <c r="I217" s="167">
        <f>ROUND((F217*H217),2)</f>
        <v>5703.62</v>
      </c>
      <c r="J217" s="19"/>
    </row>
    <row r="218" spans="1:10" ht="23.25" customHeight="1">
      <c r="A218" s="26"/>
      <c r="B218" s="240" t="s">
        <v>30</v>
      </c>
      <c r="C218" s="240"/>
      <c r="D218" s="240"/>
      <c r="E218" s="240"/>
      <c r="F218" s="240"/>
      <c r="G218" s="240"/>
      <c r="H218" s="240"/>
      <c r="I218" s="217">
        <f>I216+I201+I165+I163+I131+I123+I120+I110+I101+I93+I78+I59+I53+I31+I13</f>
        <v>1600312.35</v>
      </c>
      <c r="J218" s="90">
        <v>1213504.68</v>
      </c>
    </row>
    <row r="219" spans="1:9" ht="14.25" customHeight="1">
      <c r="A219" s="26"/>
      <c r="B219" s="218"/>
      <c r="C219" s="219"/>
      <c r="D219" s="219"/>
      <c r="E219" s="219"/>
      <c r="F219" s="219"/>
      <c r="G219" s="219"/>
      <c r="H219" s="219"/>
      <c r="I219" s="220"/>
    </row>
    <row r="220" spans="1:9" ht="14.25">
      <c r="A220" s="26"/>
      <c r="B220" s="23"/>
      <c r="C220" s="24" t="s">
        <v>299</v>
      </c>
      <c r="D220" s="24"/>
      <c r="E220" s="24"/>
      <c r="F220" s="24"/>
      <c r="G220" s="24"/>
      <c r="H220" s="24"/>
      <c r="I220" s="25"/>
    </row>
    <row r="221" spans="1:9" ht="12.75" hidden="1">
      <c r="A221" s="26"/>
      <c r="B221" s="26"/>
      <c r="C221" s="22"/>
      <c r="D221" s="22"/>
      <c r="E221" s="22"/>
      <c r="F221" s="22"/>
      <c r="G221" s="22"/>
      <c r="H221" s="22"/>
      <c r="I221" s="27"/>
    </row>
    <row r="222" spans="1:9" ht="12.75">
      <c r="A222" s="26"/>
      <c r="B222" s="26"/>
      <c r="C222" s="22"/>
      <c r="D222" s="22"/>
      <c r="E222" s="22"/>
      <c r="F222" s="22"/>
      <c r="G222" s="22"/>
      <c r="H222" s="22"/>
      <c r="I222" s="27"/>
    </row>
    <row r="223" spans="1:9" ht="15.75" customHeight="1">
      <c r="A223" s="26"/>
      <c r="B223" s="26"/>
      <c r="C223" s="22"/>
      <c r="D223" s="22"/>
      <c r="E223" s="22"/>
      <c r="F223" s="22"/>
      <c r="G223" s="22"/>
      <c r="H223" s="22"/>
      <c r="I223" s="27"/>
    </row>
    <row r="224" spans="1:9" ht="11.25" customHeight="1">
      <c r="A224" s="26"/>
      <c r="B224" s="228" t="s">
        <v>687</v>
      </c>
      <c r="C224" s="229"/>
      <c r="D224" s="229"/>
      <c r="E224" s="229"/>
      <c r="F224" s="229"/>
      <c r="G224" s="229"/>
      <c r="H224" s="229"/>
      <c r="I224" s="230"/>
    </row>
    <row r="225" spans="1:9" ht="14.25" customHeight="1">
      <c r="A225" s="26"/>
      <c r="B225" s="228"/>
      <c r="C225" s="229"/>
      <c r="D225" s="229"/>
      <c r="E225" s="229"/>
      <c r="F225" s="229"/>
      <c r="G225" s="229"/>
      <c r="H225" s="229"/>
      <c r="I225" s="230"/>
    </row>
    <row r="226" spans="1:10" ht="12.75">
      <c r="A226" s="26"/>
      <c r="B226" s="23"/>
      <c r="C226" s="221"/>
      <c r="D226" s="221"/>
      <c r="E226" s="222"/>
      <c r="F226" s="221"/>
      <c r="G226" s="221"/>
      <c r="H226" s="221"/>
      <c r="I226" s="223"/>
      <c r="J226"/>
    </row>
    <row r="227" spans="1:9" ht="11.25" customHeight="1" thickBot="1">
      <c r="A227" s="224"/>
      <c r="B227" s="224"/>
      <c r="C227" s="225"/>
      <c r="D227" s="225"/>
      <c r="E227" s="225"/>
      <c r="F227" s="225"/>
      <c r="G227" s="225"/>
      <c r="H227" s="225"/>
      <c r="I227" s="226"/>
    </row>
    <row r="228" ht="12" customHeight="1"/>
    <row r="229" ht="13.5" customHeight="1">
      <c r="J229" s="1"/>
    </row>
    <row r="230" ht="13.5" customHeight="1"/>
    <row r="231" ht="4.5" customHeight="1"/>
    <row r="234" spans="4:9" ht="14.25">
      <c r="D234" s="227"/>
      <c r="E234" s="227"/>
      <c r="F234" s="227"/>
      <c r="G234" s="227"/>
      <c r="H234" s="227"/>
      <c r="I234" s="227"/>
    </row>
    <row r="235" spans="4:9" ht="14.25">
      <c r="D235" s="28"/>
      <c r="E235" s="24"/>
      <c r="F235" s="24"/>
      <c r="G235" s="24"/>
      <c r="H235" s="24"/>
      <c r="I235" s="24"/>
    </row>
    <row r="236" spans="4:9" ht="14.25">
      <c r="D236" s="227"/>
      <c r="E236" s="227"/>
      <c r="F236" s="227"/>
      <c r="G236" s="227"/>
      <c r="H236" s="227"/>
      <c r="I236" s="227"/>
    </row>
  </sheetData>
  <sheetProtection/>
  <mergeCells count="20">
    <mergeCell ref="B2:I2"/>
    <mergeCell ref="B1:C1"/>
    <mergeCell ref="B9:E9"/>
    <mergeCell ref="D1:I1"/>
    <mergeCell ref="B3:I3"/>
    <mergeCell ref="G5:I5"/>
    <mergeCell ref="G6:I6"/>
    <mergeCell ref="B6:F6"/>
    <mergeCell ref="B5:F5"/>
    <mergeCell ref="F8:F9"/>
    <mergeCell ref="D234:I234"/>
    <mergeCell ref="D236:I236"/>
    <mergeCell ref="B224:I225"/>
    <mergeCell ref="B7:E7"/>
    <mergeCell ref="B10:I10"/>
    <mergeCell ref="F7:I7"/>
    <mergeCell ref="B218:H218"/>
    <mergeCell ref="G8:G9"/>
    <mergeCell ref="B8:E8"/>
    <mergeCell ref="D12:F12"/>
  </mergeCells>
  <conditionalFormatting sqref="E199 E201 E216:E217 E53 E31:E42 E56:E165 E13">
    <cfRule type="cellIs" priority="1" dxfId="37" operator="equal" stopIfTrue="1">
      <formula>0</formula>
    </cfRule>
  </conditionalFormatting>
  <conditionalFormatting sqref="F176:F198 F200 F202:F215">
    <cfRule type="cellIs" priority="2" dxfId="36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fitToHeight="30" horizontalDpi="600" verticalDpi="600" orientation="portrait" paperSize="9" scale="76" r:id="rId2"/>
  <rowBreaks count="1" manualBreakCount="1">
    <brk id="181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A3" sqref="A3:I3"/>
    </sheetView>
  </sheetViews>
  <sheetFormatPr defaultColWidth="9.140625" defaultRowHeight="12.75"/>
  <cols>
    <col min="1" max="1" width="9.140625" style="29" customWidth="1"/>
    <col min="2" max="2" width="39.28125" style="29" customWidth="1"/>
    <col min="3" max="3" width="12.7109375" style="29" customWidth="1"/>
    <col min="4" max="9" width="11.7109375" style="29" customWidth="1"/>
    <col min="10" max="10" width="13.00390625" style="29" customWidth="1"/>
    <col min="11" max="16384" width="9.140625" style="29" customWidth="1"/>
  </cols>
  <sheetData>
    <row r="1" spans="1:10" ht="23.25">
      <c r="A1" s="275" t="s">
        <v>42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15" customHeight="1">
      <c r="A2" s="278" t="s">
        <v>320</v>
      </c>
      <c r="B2" s="279"/>
      <c r="C2" s="279"/>
      <c r="D2" s="279"/>
      <c r="E2" s="279"/>
      <c r="F2" s="279"/>
      <c r="G2" s="279"/>
      <c r="H2" s="279"/>
      <c r="I2" s="279"/>
      <c r="J2" s="30"/>
    </row>
    <row r="3" spans="1:10" ht="38.25">
      <c r="A3" s="280" t="str">
        <f>'[6]ORÇAMENTARIA MODELO'!A5:E5</f>
        <v>CONVENENTE: PREFEITURA MUNICIPAL DE LAGOA SANTA</v>
      </c>
      <c r="B3" s="281"/>
      <c r="C3" s="281"/>
      <c r="D3" s="281"/>
      <c r="E3" s="281"/>
      <c r="F3" s="281"/>
      <c r="G3" s="281"/>
      <c r="H3" s="281"/>
      <c r="I3" s="281"/>
      <c r="J3" s="31" t="s">
        <v>105</v>
      </c>
    </row>
    <row r="4" spans="1:10" ht="25.5">
      <c r="A4" s="32" t="s">
        <v>7</v>
      </c>
      <c r="B4" s="33" t="s">
        <v>43</v>
      </c>
      <c r="C4" s="34" t="s">
        <v>44</v>
      </c>
      <c r="D4" s="35" t="s">
        <v>45</v>
      </c>
      <c r="E4" s="36" t="s">
        <v>46</v>
      </c>
      <c r="F4" s="36" t="s">
        <v>47</v>
      </c>
      <c r="G4" s="36" t="s">
        <v>85</v>
      </c>
      <c r="H4" s="36" t="s">
        <v>86</v>
      </c>
      <c r="I4" s="36" t="s">
        <v>87</v>
      </c>
      <c r="J4" s="104" t="s">
        <v>88</v>
      </c>
    </row>
    <row r="5" spans="1:10" ht="15">
      <c r="A5" s="282" t="s">
        <v>48</v>
      </c>
      <c r="B5" s="273" t="str">
        <f>'ORÇAMENTARIA CRECHE'!D13</f>
        <v>INSTALAÇÃO DA OBRA/ADMINISTRAÇÃO</v>
      </c>
      <c r="C5" s="38">
        <f>C6/C36</f>
        <v>0.2840744245959234</v>
      </c>
      <c r="D5" s="39">
        <f aca="true" t="shared" si="0" ref="D5:D10">SUM(E5:J5)</f>
        <v>1</v>
      </c>
      <c r="E5" s="40">
        <v>0.3</v>
      </c>
      <c r="F5" s="40">
        <v>0.15</v>
      </c>
      <c r="G5" s="40">
        <v>0.15</v>
      </c>
      <c r="H5" s="40">
        <v>0.15</v>
      </c>
      <c r="I5" s="40">
        <v>0.15</v>
      </c>
      <c r="J5" s="41">
        <v>0.1</v>
      </c>
    </row>
    <row r="6" spans="1:10" ht="15">
      <c r="A6" s="272"/>
      <c r="B6" s="274"/>
      <c r="C6" s="42">
        <f>'ORÇAMENTARIA CRECHE'!I13</f>
        <v>454607.81</v>
      </c>
      <c r="D6" s="43">
        <f t="shared" si="0"/>
        <v>454607.81</v>
      </c>
      <c r="E6" s="43">
        <f>E5*C6</f>
        <v>136382.343</v>
      </c>
      <c r="F6" s="43">
        <f>F5*C6</f>
        <v>68191.1715</v>
      </c>
      <c r="G6" s="43">
        <f>G5*C6</f>
        <v>68191.1715</v>
      </c>
      <c r="H6" s="43">
        <f>H5*C6</f>
        <v>68191.1715</v>
      </c>
      <c r="I6" s="43">
        <f>I5*C6</f>
        <v>68191.1715</v>
      </c>
      <c r="J6" s="44">
        <f>J5*C6</f>
        <v>45460.781</v>
      </c>
    </row>
    <row r="7" spans="1:10" ht="15">
      <c r="A7" s="271" t="s">
        <v>49</v>
      </c>
      <c r="B7" s="273" t="str">
        <f>'ORÇAMENTARIA CRECHE'!D31</f>
        <v>SERVIÇOS PRELIMINARES</v>
      </c>
      <c r="C7" s="45">
        <f>C8/C36</f>
        <v>0.030236516015139166</v>
      </c>
      <c r="D7" s="39">
        <f t="shared" si="0"/>
        <v>1</v>
      </c>
      <c r="E7" s="40">
        <v>0.95</v>
      </c>
      <c r="F7" s="40">
        <v>0</v>
      </c>
      <c r="G7" s="40">
        <v>0</v>
      </c>
      <c r="H7" s="40">
        <v>0</v>
      </c>
      <c r="I7" s="40">
        <v>0</v>
      </c>
      <c r="J7" s="41">
        <v>0.05</v>
      </c>
    </row>
    <row r="8" spans="1:10" ht="15">
      <c r="A8" s="272"/>
      <c r="B8" s="274"/>
      <c r="C8" s="42">
        <f>'ORÇAMENTARIA CRECHE'!I31</f>
        <v>48387.869999999995</v>
      </c>
      <c r="D8" s="43">
        <f t="shared" si="0"/>
        <v>48387.869999999995</v>
      </c>
      <c r="E8" s="43">
        <f>E7*C8</f>
        <v>45968.4765</v>
      </c>
      <c r="F8" s="43">
        <f>F7*C8</f>
        <v>0</v>
      </c>
      <c r="G8" s="43">
        <f>G7*C8</f>
        <v>0</v>
      </c>
      <c r="H8" s="43">
        <f>H7*C8</f>
        <v>0</v>
      </c>
      <c r="I8" s="43">
        <f>I7*C8</f>
        <v>0</v>
      </c>
      <c r="J8" s="46">
        <f>J7*C8</f>
        <v>2419.3934999999997</v>
      </c>
    </row>
    <row r="9" spans="1:10" ht="15">
      <c r="A9" s="271" t="s">
        <v>50</v>
      </c>
      <c r="B9" s="283" t="str">
        <f>'ORÇAMENTARIA CRECHE'!D53</f>
        <v>TERRAPLENAGEM</v>
      </c>
      <c r="C9" s="45">
        <f>C10/C36</f>
        <v>0.002194921510166437</v>
      </c>
      <c r="D9" s="39">
        <f t="shared" si="0"/>
        <v>1</v>
      </c>
      <c r="E9" s="40">
        <v>1</v>
      </c>
      <c r="F9" s="40">
        <v>0</v>
      </c>
      <c r="G9" s="40">
        <v>0</v>
      </c>
      <c r="H9" s="40">
        <v>0</v>
      </c>
      <c r="I9" s="40">
        <v>0</v>
      </c>
      <c r="J9" s="41">
        <v>0</v>
      </c>
    </row>
    <row r="10" spans="1:10" ht="15">
      <c r="A10" s="272"/>
      <c r="B10" s="284"/>
      <c r="C10" s="42">
        <f>'ORÇAMENTARIA CRECHE'!I53</f>
        <v>3512.56</v>
      </c>
      <c r="D10" s="43">
        <f t="shared" si="0"/>
        <v>3512.56</v>
      </c>
      <c r="E10" s="43">
        <f>E9*C10</f>
        <v>3512.56</v>
      </c>
      <c r="F10" s="43">
        <f>F9*C10</f>
        <v>0</v>
      </c>
      <c r="G10" s="43">
        <f>G9*C10</f>
        <v>0</v>
      </c>
      <c r="H10" s="43">
        <f>H9*C10</f>
        <v>0</v>
      </c>
      <c r="I10" s="43">
        <f>I9*C10</f>
        <v>0</v>
      </c>
      <c r="J10" s="44">
        <f>J9*C10</f>
        <v>0</v>
      </c>
    </row>
    <row r="11" spans="1:10" ht="15">
      <c r="A11" s="282" t="s">
        <v>244</v>
      </c>
      <c r="B11" s="273" t="str">
        <f>'ORÇAMENTARIA CRECHE'!D59</f>
        <v>ESTRUTURAS</v>
      </c>
      <c r="C11" s="38">
        <f>C12/C36</f>
        <v>0.24736835905815507</v>
      </c>
      <c r="D11" s="39">
        <f aca="true" t="shared" si="1" ref="D11:D34">SUM(E11:J11)</f>
        <v>0.9999999999999999</v>
      </c>
      <c r="E11" s="40">
        <v>0.2</v>
      </c>
      <c r="F11" s="40">
        <v>0.7</v>
      </c>
      <c r="G11" s="40">
        <v>0.1</v>
      </c>
      <c r="H11" s="40">
        <v>0</v>
      </c>
      <c r="I11" s="40">
        <v>0</v>
      </c>
      <c r="J11" s="41">
        <v>0</v>
      </c>
    </row>
    <row r="12" spans="1:10" ht="15">
      <c r="A12" s="272"/>
      <c r="B12" s="274"/>
      <c r="C12" s="42">
        <f>'ORÇAMENTARIA CRECHE'!I59</f>
        <v>395866.63999999996</v>
      </c>
      <c r="D12" s="43">
        <f t="shared" si="1"/>
        <v>395866.6399999999</v>
      </c>
      <c r="E12" s="43">
        <f>E11*C12</f>
        <v>79173.328</v>
      </c>
      <c r="F12" s="43">
        <f>F11*C12</f>
        <v>277106.6479999999</v>
      </c>
      <c r="G12" s="43">
        <f>G11*C12</f>
        <v>39586.664</v>
      </c>
      <c r="H12" s="43">
        <f>H11*C12</f>
        <v>0</v>
      </c>
      <c r="I12" s="43">
        <f>I11*C12</f>
        <v>0</v>
      </c>
      <c r="J12" s="44">
        <f>J11*C12</f>
        <v>0</v>
      </c>
    </row>
    <row r="13" spans="1:10" ht="15">
      <c r="A13" s="282" t="s">
        <v>245</v>
      </c>
      <c r="B13" s="273" t="str">
        <f>'ORÇAMENTARIA CRECHE'!D78</f>
        <v>VEDAÇÕES</v>
      </c>
      <c r="C13" s="38">
        <f>C14/C36</f>
        <v>0.06814526551644745</v>
      </c>
      <c r="D13" s="39">
        <f t="shared" si="1"/>
        <v>1</v>
      </c>
      <c r="E13" s="40">
        <v>0</v>
      </c>
      <c r="F13" s="40">
        <v>0.2</v>
      </c>
      <c r="G13" s="40">
        <v>0.3</v>
      </c>
      <c r="H13" s="40">
        <v>0.5</v>
      </c>
      <c r="I13" s="40">
        <v>0</v>
      </c>
      <c r="J13" s="41">
        <v>0</v>
      </c>
    </row>
    <row r="14" spans="1:10" ht="15">
      <c r="A14" s="272"/>
      <c r="B14" s="274"/>
      <c r="C14" s="42">
        <f>'ORÇAMENTARIA CRECHE'!I78</f>
        <v>109053.70999999999</v>
      </c>
      <c r="D14" s="43">
        <f t="shared" si="1"/>
        <v>109053.70999999999</v>
      </c>
      <c r="E14" s="43">
        <f>E13*C14</f>
        <v>0</v>
      </c>
      <c r="F14" s="43">
        <f>F13*C14</f>
        <v>21810.742</v>
      </c>
      <c r="G14" s="43">
        <f>G13*C14</f>
        <v>32716.112999999998</v>
      </c>
      <c r="H14" s="43">
        <f>H13*C14</f>
        <v>54526.854999999996</v>
      </c>
      <c r="I14" s="43">
        <f>I13*C14</f>
        <v>0</v>
      </c>
      <c r="J14" s="44">
        <f>J13*C14</f>
        <v>0</v>
      </c>
    </row>
    <row r="15" spans="1:10" ht="15">
      <c r="A15" s="282" t="s">
        <v>246</v>
      </c>
      <c r="B15" s="273" t="str">
        <f>'ORÇAMENTARIA CRECHE'!D93</f>
        <v>PISOS E RODAPÉS</v>
      </c>
      <c r="C15" s="38">
        <f>C16/C36</f>
        <v>0.0805531620124034</v>
      </c>
      <c r="D15" s="39">
        <f t="shared" si="1"/>
        <v>0.9999999999999999</v>
      </c>
      <c r="E15" s="40">
        <v>0</v>
      </c>
      <c r="F15" s="40">
        <v>0.1</v>
      </c>
      <c r="G15" s="40">
        <v>0.3</v>
      </c>
      <c r="H15" s="40">
        <v>0.3</v>
      </c>
      <c r="I15" s="40">
        <v>0.2</v>
      </c>
      <c r="J15" s="41">
        <v>0.1</v>
      </c>
    </row>
    <row r="16" spans="1:10" ht="15">
      <c r="A16" s="272"/>
      <c r="B16" s="274"/>
      <c r="C16" s="42">
        <f>'ORÇAMENTARIA CRECHE'!I93</f>
        <v>128910.22000000002</v>
      </c>
      <c r="D16" s="43">
        <f t="shared" si="1"/>
        <v>128910.22000000002</v>
      </c>
      <c r="E16" s="43">
        <f>E15*C16</f>
        <v>0</v>
      </c>
      <c r="F16" s="43">
        <f>F15*C16</f>
        <v>12891.022000000003</v>
      </c>
      <c r="G16" s="43">
        <f>G15*C16</f>
        <v>38673.066000000006</v>
      </c>
      <c r="H16" s="43">
        <f>H15*C16</f>
        <v>38673.066000000006</v>
      </c>
      <c r="I16" s="43">
        <f>I15*C16</f>
        <v>25782.044000000005</v>
      </c>
      <c r="J16" s="44">
        <f>J15*C16</f>
        <v>12891.022000000003</v>
      </c>
    </row>
    <row r="17" spans="1:10" ht="15">
      <c r="A17" s="282" t="s">
        <v>247</v>
      </c>
      <c r="B17" s="273" t="str">
        <f>'ORÇAMENTARIA CRECHE'!D101</f>
        <v>REVESTIMENTOS</v>
      </c>
      <c r="C17" s="38">
        <f>C18/C36</f>
        <v>0.08710902593484329</v>
      </c>
      <c r="D17" s="39">
        <f t="shared" si="1"/>
        <v>1</v>
      </c>
      <c r="E17" s="40">
        <v>0</v>
      </c>
      <c r="F17" s="40">
        <v>0</v>
      </c>
      <c r="G17" s="40">
        <v>0.4</v>
      </c>
      <c r="H17" s="40">
        <v>0.4</v>
      </c>
      <c r="I17" s="40">
        <v>0.2</v>
      </c>
      <c r="J17" s="41">
        <v>0</v>
      </c>
    </row>
    <row r="18" spans="1:10" ht="15">
      <c r="A18" s="272"/>
      <c r="B18" s="274"/>
      <c r="C18" s="42">
        <f>'ORÇAMENTARIA CRECHE'!I101</f>
        <v>139401.65000000002</v>
      </c>
      <c r="D18" s="43">
        <f t="shared" si="1"/>
        <v>139401.65000000002</v>
      </c>
      <c r="E18" s="43">
        <f>E17*C18</f>
        <v>0</v>
      </c>
      <c r="F18" s="43">
        <f>F17*C18</f>
        <v>0</v>
      </c>
      <c r="G18" s="43">
        <f>G17*C18</f>
        <v>55760.66000000001</v>
      </c>
      <c r="H18" s="43">
        <f>H17*C18</f>
        <v>55760.66000000001</v>
      </c>
      <c r="I18" s="43">
        <f>I17*C18</f>
        <v>27880.330000000005</v>
      </c>
      <c r="J18" s="44">
        <f>J17*C18</f>
        <v>0</v>
      </c>
    </row>
    <row r="19" spans="1:10" ht="15">
      <c r="A19" s="282" t="s">
        <v>248</v>
      </c>
      <c r="B19" s="273" t="str">
        <f>'ORÇAMENTARIA CRECHE'!D110</f>
        <v>COBERTURA</v>
      </c>
      <c r="C19" s="38">
        <f>C20/C36</f>
        <v>0.09825145697338397</v>
      </c>
      <c r="D19" s="39">
        <f t="shared" si="1"/>
        <v>1.0000000000000002</v>
      </c>
      <c r="E19" s="40">
        <v>0</v>
      </c>
      <c r="F19" s="40">
        <v>0</v>
      </c>
      <c r="G19" s="40">
        <v>0.2</v>
      </c>
      <c r="H19" s="40">
        <v>0.4</v>
      </c>
      <c r="I19" s="40">
        <v>0.3</v>
      </c>
      <c r="J19" s="41">
        <v>0.1</v>
      </c>
    </row>
    <row r="20" spans="1:10" ht="15">
      <c r="A20" s="272"/>
      <c r="B20" s="274"/>
      <c r="C20" s="42">
        <f>'ORÇAMENTARIA CRECHE'!I110</f>
        <v>157233.02</v>
      </c>
      <c r="D20" s="43">
        <f t="shared" si="1"/>
        <v>157233.02</v>
      </c>
      <c r="E20" s="43">
        <f>E19*C20</f>
        <v>0</v>
      </c>
      <c r="F20" s="43">
        <f>F19*C20</f>
        <v>0</v>
      </c>
      <c r="G20" s="43">
        <f>G19*C20</f>
        <v>31446.604</v>
      </c>
      <c r="H20" s="43">
        <f>H19*C20</f>
        <v>62893.208</v>
      </c>
      <c r="I20" s="43">
        <f>I19*C20</f>
        <v>47169.905999999995</v>
      </c>
      <c r="J20" s="44">
        <f>J19*C20</f>
        <v>15723.302</v>
      </c>
    </row>
    <row r="21" spans="1:10" ht="15">
      <c r="A21" s="282" t="s">
        <v>249</v>
      </c>
      <c r="B21" s="273" t="str">
        <f>'ORÇAMENTARIA CRECHE'!D120</f>
        <v>BANCADAS </v>
      </c>
      <c r="C21" s="38">
        <f>C22/C36</f>
        <v>0.004234879522113292</v>
      </c>
      <c r="D21" s="39">
        <f t="shared" si="1"/>
        <v>1</v>
      </c>
      <c r="E21" s="40">
        <v>0</v>
      </c>
      <c r="F21" s="40">
        <v>0</v>
      </c>
      <c r="G21" s="40">
        <v>0</v>
      </c>
      <c r="H21" s="40">
        <v>0</v>
      </c>
      <c r="I21" s="40">
        <v>0.8</v>
      </c>
      <c r="J21" s="41">
        <v>0.2</v>
      </c>
    </row>
    <row r="22" spans="1:10" ht="15">
      <c r="A22" s="272"/>
      <c r="B22" s="274"/>
      <c r="C22" s="42">
        <f>'ORÇAMENTARIA CRECHE'!I120</f>
        <v>6777.13</v>
      </c>
      <c r="D22" s="43">
        <f t="shared" si="1"/>
        <v>6777.130000000001</v>
      </c>
      <c r="E22" s="43">
        <f>E21*C22</f>
        <v>0</v>
      </c>
      <c r="F22" s="43">
        <f>F21*C22</f>
        <v>0</v>
      </c>
      <c r="G22" s="43">
        <f>G21*C22</f>
        <v>0</v>
      </c>
      <c r="H22" s="43">
        <f>H21*C22</f>
        <v>0</v>
      </c>
      <c r="I22" s="43">
        <f>I21*C22</f>
        <v>5421.704000000001</v>
      </c>
      <c r="J22" s="44">
        <f>J21*C22</f>
        <v>1355.4260000000002</v>
      </c>
    </row>
    <row r="23" spans="1:10" ht="15">
      <c r="A23" s="282" t="s">
        <v>250</v>
      </c>
      <c r="B23" s="273" t="str">
        <f>'ORÇAMENTARIA CRECHE'!D123</f>
        <v>DIVERSOS</v>
      </c>
      <c r="C23" s="38">
        <f>C24/C36</f>
        <v>0.019369212516544037</v>
      </c>
      <c r="D23" s="39">
        <f t="shared" si="1"/>
        <v>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1</v>
      </c>
    </row>
    <row r="24" spans="1:10" ht="15">
      <c r="A24" s="272"/>
      <c r="B24" s="274"/>
      <c r="C24" s="42">
        <f>'ORÇAMENTARIA CRECHE'!I123</f>
        <v>30996.790000000005</v>
      </c>
      <c r="D24" s="43">
        <f t="shared" si="1"/>
        <v>30996.790000000005</v>
      </c>
      <c r="E24" s="43">
        <f>E23*C24</f>
        <v>0</v>
      </c>
      <c r="F24" s="43">
        <f>F23*C24</f>
        <v>0</v>
      </c>
      <c r="G24" s="43">
        <f>G23*C24</f>
        <v>0</v>
      </c>
      <c r="H24" s="43">
        <f>H23*C24</f>
        <v>0</v>
      </c>
      <c r="I24" s="43">
        <f>I23*C24</f>
        <v>0</v>
      </c>
      <c r="J24" s="44">
        <f>J23*C24</f>
        <v>30996.790000000005</v>
      </c>
    </row>
    <row r="25" spans="1:10" ht="15">
      <c r="A25" s="282" t="s">
        <v>251</v>
      </c>
      <c r="B25" s="273" t="str">
        <f>'ORÇAMENTARIA CRECHE'!D131</f>
        <v>INSTALAÇÕES HIDROSSANITÁRIAS</v>
      </c>
      <c r="C25" s="38">
        <f>C26/C36</f>
        <v>0.03127565065657338</v>
      </c>
      <c r="D25" s="39">
        <f t="shared" si="1"/>
        <v>1</v>
      </c>
      <c r="E25" s="40">
        <v>0</v>
      </c>
      <c r="F25" s="40">
        <v>0.1</v>
      </c>
      <c r="G25" s="40">
        <v>0.3</v>
      </c>
      <c r="H25" s="40">
        <v>0.4</v>
      </c>
      <c r="I25" s="40">
        <v>0.2</v>
      </c>
      <c r="J25" s="41">
        <v>0</v>
      </c>
    </row>
    <row r="26" spans="1:10" ht="15">
      <c r="A26" s="272"/>
      <c r="B26" s="274"/>
      <c r="C26" s="42">
        <f>'ORÇAMENTARIA CRECHE'!I131</f>
        <v>50050.81</v>
      </c>
      <c r="D26" s="43">
        <f t="shared" si="1"/>
        <v>50050.81</v>
      </c>
      <c r="E26" s="43">
        <f>E25*C26</f>
        <v>0</v>
      </c>
      <c r="F26" s="43">
        <f>F25*C26</f>
        <v>5005.081</v>
      </c>
      <c r="G26" s="43">
        <f>G25*C26</f>
        <v>15015.242999999999</v>
      </c>
      <c r="H26" s="43">
        <f>H25*C26</f>
        <v>20020.324</v>
      </c>
      <c r="I26" s="43">
        <f>I25*C26</f>
        <v>10010.162</v>
      </c>
      <c r="J26" s="44">
        <f>J25*C26</f>
        <v>0</v>
      </c>
    </row>
    <row r="27" spans="1:10" ht="15">
      <c r="A27" s="282" t="s">
        <v>252</v>
      </c>
      <c r="B27" s="273" t="str">
        <f>'ORÇAMENTARIA CRECHE'!D163</f>
        <v>INSTALAÇÕES DE COMBATE E PREVENÇÃO A INCÊNDIOS E PÂNICO</v>
      </c>
      <c r="C27" s="38">
        <f>C28/C36</f>
        <v>0.008215896103032635</v>
      </c>
      <c r="D27" s="39">
        <f t="shared" si="1"/>
        <v>1</v>
      </c>
      <c r="E27" s="40">
        <v>0</v>
      </c>
      <c r="F27" s="40">
        <v>0</v>
      </c>
      <c r="G27" s="40">
        <v>0</v>
      </c>
      <c r="H27" s="40">
        <v>0</v>
      </c>
      <c r="I27" s="40">
        <v>0.3</v>
      </c>
      <c r="J27" s="41">
        <v>0.7</v>
      </c>
    </row>
    <row r="28" spans="1:10" ht="15">
      <c r="A28" s="272"/>
      <c r="B28" s="274"/>
      <c r="C28" s="42">
        <f>'ORÇAMENTARIA CRECHE'!I163</f>
        <v>13148</v>
      </c>
      <c r="D28" s="43">
        <f t="shared" si="1"/>
        <v>13147.999999999998</v>
      </c>
      <c r="E28" s="43">
        <f>E27*C28</f>
        <v>0</v>
      </c>
      <c r="F28" s="43">
        <f>F27*C28</f>
        <v>0</v>
      </c>
      <c r="G28" s="43">
        <f>G27*C28</f>
        <v>0</v>
      </c>
      <c r="H28" s="43">
        <f>H27*C28</f>
        <v>0</v>
      </c>
      <c r="I28" s="43">
        <f>I27*C28</f>
        <v>3944.3999999999996</v>
      </c>
      <c r="J28" s="44">
        <f>J27*C28</f>
        <v>9203.599999999999</v>
      </c>
    </row>
    <row r="29" spans="1:10" ht="15">
      <c r="A29" s="282" t="s">
        <v>253</v>
      </c>
      <c r="B29" s="273" t="str">
        <f>'ORÇAMENTARIA CRECHE'!D165</f>
        <v>INSTALAÇÕES ELÉTRICAS</v>
      </c>
      <c r="C29" s="38">
        <f>C30/C36</f>
        <v>0.03060360685212483</v>
      </c>
      <c r="D29" s="39">
        <f t="shared" si="1"/>
        <v>1.0000000000000002</v>
      </c>
      <c r="E29" s="40">
        <v>0</v>
      </c>
      <c r="F29" s="40">
        <v>0.1</v>
      </c>
      <c r="G29" s="40">
        <v>0.2</v>
      </c>
      <c r="H29" s="40">
        <v>0.4</v>
      </c>
      <c r="I29" s="40">
        <v>0.2</v>
      </c>
      <c r="J29" s="41">
        <v>0.1</v>
      </c>
    </row>
    <row r="30" spans="1:10" ht="15">
      <c r="A30" s="272"/>
      <c r="B30" s="274"/>
      <c r="C30" s="42">
        <f>'ORÇAMENTARIA CRECHE'!I165</f>
        <v>48975.329999999994</v>
      </c>
      <c r="D30" s="43">
        <f t="shared" si="1"/>
        <v>48975.33</v>
      </c>
      <c r="E30" s="43">
        <f>E29*C30</f>
        <v>0</v>
      </c>
      <c r="F30" s="43">
        <f>F29*C30</f>
        <v>4897.532999999999</v>
      </c>
      <c r="G30" s="43">
        <f>G29*C30</f>
        <v>9795.065999999999</v>
      </c>
      <c r="H30" s="43">
        <f>H29*C30</f>
        <v>19590.131999999998</v>
      </c>
      <c r="I30" s="43">
        <f>I29*C30</f>
        <v>9795.065999999999</v>
      </c>
      <c r="J30" s="44">
        <f>J29*C30</f>
        <v>4897.532999999999</v>
      </c>
    </row>
    <row r="31" spans="1:10" ht="15">
      <c r="A31" s="282" t="s">
        <v>254</v>
      </c>
      <c r="B31" s="291" t="str">
        <f>'ORÇAMENTARIA CRECHE'!D201</f>
        <v>INSTALAÇÕES DE SPDA COMUNICAÇÃO E LÓGICA</v>
      </c>
      <c r="C31" s="38">
        <f>C32/C36</f>
        <v>0.004803556005800993</v>
      </c>
      <c r="D31" s="39">
        <f t="shared" si="1"/>
        <v>1.0000000000000002</v>
      </c>
      <c r="E31" s="40">
        <v>0</v>
      </c>
      <c r="F31" s="40">
        <v>0.1</v>
      </c>
      <c r="G31" s="40">
        <v>0.2</v>
      </c>
      <c r="H31" s="40">
        <v>0.4</v>
      </c>
      <c r="I31" s="40">
        <v>0.2</v>
      </c>
      <c r="J31" s="41">
        <v>0.1</v>
      </c>
    </row>
    <row r="32" spans="1:10" ht="15">
      <c r="A32" s="272"/>
      <c r="B32" s="292"/>
      <c r="C32" s="42">
        <f>'ORÇAMENTARIA CRECHE'!I201</f>
        <v>7687.1900000000005</v>
      </c>
      <c r="D32" s="43">
        <f t="shared" si="1"/>
        <v>7687.1900000000005</v>
      </c>
      <c r="E32" s="43">
        <f>E31*C32</f>
        <v>0</v>
      </c>
      <c r="F32" s="43">
        <f>F31*C32</f>
        <v>768.719</v>
      </c>
      <c r="G32" s="43">
        <f>G31*C32</f>
        <v>1537.438</v>
      </c>
      <c r="H32" s="43">
        <f>H31*C32</f>
        <v>3074.876</v>
      </c>
      <c r="I32" s="43">
        <f>I31*C32</f>
        <v>1537.438</v>
      </c>
      <c r="J32" s="44">
        <f>J31*C32</f>
        <v>768.719</v>
      </c>
    </row>
    <row r="33" spans="1:10" ht="15">
      <c r="A33" s="282" t="s">
        <v>255</v>
      </c>
      <c r="B33" s="291" t="str">
        <f>'ORÇAMENTARIA CRECHE'!D216</f>
        <v>LIMPEZA DA OBRA</v>
      </c>
      <c r="C33" s="38">
        <f>C34/C36</f>
        <v>0.00356406672734857</v>
      </c>
      <c r="D33" s="39">
        <f t="shared" si="1"/>
        <v>1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1</v>
      </c>
    </row>
    <row r="34" spans="1:10" ht="15">
      <c r="A34" s="272"/>
      <c r="B34" s="292"/>
      <c r="C34" s="42">
        <f>'ORÇAMENTARIA CRECHE'!I216</f>
        <v>5703.62</v>
      </c>
      <c r="D34" s="43">
        <f t="shared" si="1"/>
        <v>5703.62</v>
      </c>
      <c r="E34" s="43">
        <f>E33*C34</f>
        <v>0</v>
      </c>
      <c r="F34" s="43">
        <f>F33*C34</f>
        <v>0</v>
      </c>
      <c r="G34" s="43">
        <f>G33*C34</f>
        <v>0</v>
      </c>
      <c r="H34" s="43">
        <f>H33*C34</f>
        <v>0</v>
      </c>
      <c r="I34" s="43">
        <f>I33*C34</f>
        <v>0</v>
      </c>
      <c r="J34" s="44">
        <f>J33*C34</f>
        <v>5703.62</v>
      </c>
    </row>
    <row r="35" spans="1:10" ht="15">
      <c r="A35" s="289" t="s">
        <v>51</v>
      </c>
      <c r="B35" s="290"/>
      <c r="C35" s="47">
        <f>C5+C7+C9+C11+C13+C15+C17+C19+C21+C23+C25+C27+C29+C31+C33</f>
        <v>0.9999999999999998</v>
      </c>
      <c r="D35" s="39">
        <f>SUM(E35:J35)</f>
        <v>0.9999999999999999</v>
      </c>
      <c r="E35" s="39">
        <f aca="true" t="shared" si="2" ref="E35:J35">(E6+E8+E10+E12+E14+E16+E18+E20+E22+E24+E26+E28+E30+E32+E34)/$C$36</f>
        <v>0.16561561091495666</v>
      </c>
      <c r="F35" s="39">
        <f t="shared" si="2"/>
        <v>0.2441216656860768</v>
      </c>
      <c r="G35" s="39">
        <f t="shared" si="2"/>
        <v>0.18291555739103058</v>
      </c>
      <c r="H35" s="39">
        <f t="shared" si="2"/>
        <v>0.20166706362042383</v>
      </c>
      <c r="I35" s="39">
        <f t="shared" si="2"/>
        <v>0.1248082735223533</v>
      </c>
      <c r="J35" s="105">
        <f t="shared" si="2"/>
        <v>0.08087182886515873</v>
      </c>
    </row>
    <row r="36" spans="1:10" ht="15">
      <c r="A36" s="289"/>
      <c r="B36" s="290"/>
      <c r="C36" s="48">
        <f>C6+C8+C10+C12+C14+C16+C18+C20+C22+C24+C26+C28+C30+C32+C34</f>
        <v>1600312.35</v>
      </c>
      <c r="D36" s="49">
        <f>SUM(E36:J36)</f>
        <v>1600312.3499999999</v>
      </c>
      <c r="E36" s="49">
        <f aca="true" t="shared" si="3" ref="E36:J36">SUM(E6,E8,E10,E12,E14,E16,E18,E20,E22,E24,E26,E28,E30,E32,E34)</f>
        <v>265036.70749999996</v>
      </c>
      <c r="F36" s="49">
        <f t="shared" si="3"/>
        <v>390670.91649999993</v>
      </c>
      <c r="G36" s="49">
        <f t="shared" si="3"/>
        <v>292722.02550000005</v>
      </c>
      <c r="H36" s="49">
        <f t="shared" si="3"/>
        <v>322730.2925</v>
      </c>
      <c r="I36" s="49">
        <f t="shared" si="3"/>
        <v>199732.22149999999</v>
      </c>
      <c r="J36" s="106">
        <f t="shared" si="3"/>
        <v>129420.1865</v>
      </c>
    </row>
    <row r="37" spans="1:10" ht="15">
      <c r="A37" s="50"/>
      <c r="B37" s="51"/>
      <c r="C37" s="52"/>
      <c r="D37" s="37"/>
      <c r="E37" s="37"/>
      <c r="F37" s="37"/>
      <c r="G37" s="37"/>
      <c r="H37" s="37"/>
      <c r="I37" s="37"/>
      <c r="J37" s="53"/>
    </row>
    <row r="38" spans="1:10" ht="33.75" customHeight="1">
      <c r="A38" s="54"/>
      <c r="B38" s="55"/>
      <c r="C38" s="55"/>
      <c r="D38" s="55"/>
      <c r="E38" s="55"/>
      <c r="F38" s="55"/>
      <c r="G38" s="55"/>
      <c r="H38" s="55"/>
      <c r="I38" s="55"/>
      <c r="J38" s="56"/>
    </row>
    <row r="39" spans="1:10" ht="24" customHeight="1">
      <c r="A39" s="285" t="s">
        <v>52</v>
      </c>
      <c r="B39" s="286"/>
      <c r="C39" s="286"/>
      <c r="D39" s="286"/>
      <c r="E39" s="286"/>
      <c r="F39" s="286"/>
      <c r="G39" s="286"/>
      <c r="H39" s="286"/>
      <c r="I39" s="286"/>
      <c r="J39" s="57"/>
    </row>
    <row r="40" spans="1:10" ht="13.5" customHeight="1" thickBot="1">
      <c r="A40" s="287" t="s">
        <v>53</v>
      </c>
      <c r="B40" s="288"/>
      <c r="C40" s="288"/>
      <c r="D40" s="288"/>
      <c r="E40" s="288"/>
      <c r="F40" s="288"/>
      <c r="G40" s="288"/>
      <c r="H40" s="288"/>
      <c r="I40" s="288"/>
      <c r="J40" s="58"/>
    </row>
  </sheetData>
  <sheetProtection/>
  <mergeCells count="36">
    <mergeCell ref="A33:A34"/>
    <mergeCell ref="B33:B34"/>
    <mergeCell ref="A25:A26"/>
    <mergeCell ref="B25:B26"/>
    <mergeCell ref="A27:A28"/>
    <mergeCell ref="B27:B28"/>
    <mergeCell ref="A29:A30"/>
    <mergeCell ref="B29:B30"/>
    <mergeCell ref="A31:A32"/>
    <mergeCell ref="B31:B32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9:A10"/>
    <mergeCell ref="B9:B10"/>
    <mergeCell ref="A39:I39"/>
    <mergeCell ref="A40:I40"/>
    <mergeCell ref="A35:B36"/>
    <mergeCell ref="A11:A12"/>
    <mergeCell ref="B11:B12"/>
    <mergeCell ref="A13:A14"/>
    <mergeCell ref="B13:B14"/>
    <mergeCell ref="A15:A16"/>
    <mergeCell ref="A7:A8"/>
    <mergeCell ref="B7:B8"/>
    <mergeCell ref="A1:J1"/>
    <mergeCell ref="A2:I2"/>
    <mergeCell ref="A3:I3"/>
    <mergeCell ref="A5:A6"/>
    <mergeCell ref="B5:B6"/>
  </mergeCells>
  <conditionalFormatting sqref="E13:J13 E15:J15 E17:J17 E19:J19 E21:J21 E23:J23 E25:J25 E27:J27 E29:J29 E31:J31 E33:J33 E9:J9 E5:J5 E7:J7 E11:J11">
    <cfRule type="cellIs" priority="16" dxfId="0" operator="greaterThan" stopIfTrue="1">
      <formula>0</formula>
    </cfRule>
  </conditionalFormatting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2:V38"/>
  <sheetViews>
    <sheetView showGridLines="0" zoomScale="90" zoomScaleNormal="90" zoomScalePageLayoutView="0" workbookViewId="0" topLeftCell="A1">
      <selection activeCell="N32" sqref="N32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8" width="3.8515625" style="0" customWidth="1"/>
    <col min="9" max="9" width="24.140625" style="0" customWidth="1"/>
  </cols>
  <sheetData>
    <row r="1" ht="81" customHeight="1"/>
    <row r="2" spans="2:10" ht="18">
      <c r="B2" s="293" t="s">
        <v>54</v>
      </c>
      <c r="C2" s="293"/>
      <c r="D2" s="293"/>
      <c r="E2" s="293"/>
      <c r="F2" s="293"/>
      <c r="G2" s="293"/>
      <c r="H2" s="293"/>
      <c r="I2" s="293"/>
      <c r="J2" s="293"/>
    </row>
    <row r="3" spans="2:22" ht="12.75">
      <c r="B3" s="95"/>
      <c r="C3" s="96"/>
      <c r="D3" s="96"/>
      <c r="E3" s="96"/>
      <c r="F3" s="96"/>
      <c r="G3" s="96"/>
      <c r="H3" s="96"/>
      <c r="I3" s="96"/>
      <c r="J3" s="96"/>
      <c r="K3" s="76"/>
      <c r="L3" s="76"/>
      <c r="M3" s="76"/>
      <c r="N3" s="76"/>
      <c r="O3" s="76"/>
      <c r="P3" s="76"/>
      <c r="Q3" s="76"/>
      <c r="R3" s="76"/>
      <c r="S3" s="76"/>
      <c r="T3" s="76"/>
      <c r="U3" s="97"/>
      <c r="V3" s="97"/>
    </row>
    <row r="4" spans="2:22" ht="12.75">
      <c r="B4" s="321" t="s">
        <v>106</v>
      </c>
      <c r="C4" s="322"/>
      <c r="D4" s="322"/>
      <c r="E4" s="322"/>
      <c r="F4" s="322"/>
      <c r="G4" s="322"/>
      <c r="H4" s="322"/>
      <c r="I4" s="322"/>
      <c r="J4" s="323"/>
      <c r="K4" s="76"/>
      <c r="L4" s="76"/>
      <c r="M4" s="76"/>
      <c r="N4" s="76"/>
      <c r="O4" s="76"/>
      <c r="P4" s="76"/>
      <c r="Q4" s="76"/>
      <c r="R4" s="76"/>
      <c r="S4" s="76"/>
      <c r="T4" s="76"/>
      <c r="U4" s="97"/>
      <c r="V4" s="97"/>
    </row>
    <row r="5" spans="2:22" ht="12.75">
      <c r="B5" s="324"/>
      <c r="C5" s="325"/>
      <c r="D5" s="325"/>
      <c r="E5" s="325"/>
      <c r="F5" s="325"/>
      <c r="G5" s="325"/>
      <c r="H5" s="325"/>
      <c r="I5" s="325"/>
      <c r="J5" s="326"/>
      <c r="K5" s="76"/>
      <c r="L5" s="76"/>
      <c r="M5" s="76"/>
      <c r="N5" s="76"/>
      <c r="O5" s="76"/>
      <c r="P5" s="76"/>
      <c r="Q5" s="76"/>
      <c r="R5" s="76"/>
      <c r="S5" s="76"/>
      <c r="T5" s="76"/>
      <c r="U5" s="97"/>
      <c r="V5" s="97"/>
    </row>
    <row r="6" spans="2:22" ht="12.75">
      <c r="B6" s="59" t="s">
        <v>55</v>
      </c>
      <c r="C6" s="60"/>
      <c r="D6" s="60"/>
      <c r="E6" s="60"/>
      <c r="F6" s="60"/>
      <c r="G6" s="60"/>
      <c r="H6" s="60"/>
      <c r="I6" s="60"/>
      <c r="J6" s="61"/>
      <c r="K6" s="76"/>
      <c r="L6" s="76"/>
      <c r="M6" s="76"/>
      <c r="N6" s="76"/>
      <c r="O6" s="76"/>
      <c r="P6" s="76"/>
      <c r="Q6" s="76"/>
      <c r="R6" s="76"/>
      <c r="S6" s="76"/>
      <c r="T6" s="76"/>
      <c r="U6" s="97"/>
      <c r="V6" s="97"/>
    </row>
    <row r="7" spans="2:22" ht="12.75">
      <c r="B7" s="62" t="s">
        <v>56</v>
      </c>
      <c r="C7" s="63"/>
      <c r="D7" s="63"/>
      <c r="E7" s="63"/>
      <c r="F7" s="63"/>
      <c r="G7" s="63"/>
      <c r="H7" s="63"/>
      <c r="I7" s="63"/>
      <c r="J7" s="64"/>
      <c r="K7" s="76"/>
      <c r="L7" s="76"/>
      <c r="M7" s="76"/>
      <c r="N7" s="76"/>
      <c r="O7" s="76"/>
      <c r="P7" s="76"/>
      <c r="Q7" s="76"/>
      <c r="R7" s="76"/>
      <c r="S7" s="76"/>
      <c r="T7" s="76"/>
      <c r="U7" s="97"/>
      <c r="V7" s="97"/>
    </row>
    <row r="8" spans="2:22" ht="12.75">
      <c r="B8" s="98" t="s">
        <v>79</v>
      </c>
      <c r="C8" s="66"/>
      <c r="D8" s="66"/>
      <c r="E8" s="66"/>
      <c r="F8" s="66"/>
      <c r="G8" s="66"/>
      <c r="H8" s="66"/>
      <c r="I8" s="66"/>
      <c r="J8" s="67"/>
      <c r="K8" s="76"/>
      <c r="L8" s="76"/>
      <c r="M8" s="76"/>
      <c r="N8" s="76"/>
      <c r="O8" s="76"/>
      <c r="P8" s="76"/>
      <c r="Q8" s="76"/>
      <c r="R8" s="76"/>
      <c r="S8" s="76"/>
      <c r="T8" s="76"/>
      <c r="U8" s="97"/>
      <c r="V8" s="97"/>
    </row>
    <row r="9" spans="2:22" ht="12.75">
      <c r="B9" s="62" t="s">
        <v>57</v>
      </c>
      <c r="C9" s="63"/>
      <c r="D9" s="63"/>
      <c r="E9" s="63"/>
      <c r="F9" s="68"/>
      <c r="G9" s="68"/>
      <c r="H9" s="68"/>
      <c r="I9" s="68"/>
      <c r="J9" s="64"/>
      <c r="K9" s="76"/>
      <c r="L9" s="76"/>
      <c r="M9" s="76"/>
      <c r="N9" s="76"/>
      <c r="O9" s="76"/>
      <c r="P9" s="76"/>
      <c r="Q9" s="76"/>
      <c r="R9" s="76"/>
      <c r="S9" s="76"/>
      <c r="T9" s="76"/>
      <c r="U9" s="97"/>
      <c r="V9" s="97"/>
    </row>
    <row r="10" spans="2:22" ht="12.75">
      <c r="B10" s="98" t="s">
        <v>691</v>
      </c>
      <c r="C10" s="69"/>
      <c r="D10" s="69"/>
      <c r="E10" s="69"/>
      <c r="F10" s="69"/>
      <c r="G10" s="69"/>
      <c r="H10" s="69"/>
      <c r="I10" s="69"/>
      <c r="J10" s="70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97"/>
      <c r="V10" s="97"/>
    </row>
    <row r="11" spans="2:22" ht="12.75">
      <c r="B11" s="71" t="s">
        <v>58</v>
      </c>
      <c r="C11" s="68"/>
      <c r="D11" s="68"/>
      <c r="E11" s="68"/>
      <c r="F11" s="63"/>
      <c r="G11" s="63"/>
      <c r="H11" s="63"/>
      <c r="I11" s="63"/>
      <c r="J11" s="64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7"/>
      <c r="V11" s="97"/>
    </row>
    <row r="12" spans="2:22" ht="12.75">
      <c r="B12" s="65"/>
      <c r="C12" s="69"/>
      <c r="D12" s="69"/>
      <c r="E12" s="69"/>
      <c r="F12" s="69"/>
      <c r="G12" s="69"/>
      <c r="H12" s="69"/>
      <c r="I12" s="69"/>
      <c r="J12" s="70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97"/>
      <c r="V12" s="97"/>
    </row>
    <row r="13" spans="2:22" ht="12.75">
      <c r="B13" s="62" t="s">
        <v>59</v>
      </c>
      <c r="C13" s="72"/>
      <c r="D13" s="72"/>
      <c r="E13" s="72"/>
      <c r="F13" s="72"/>
      <c r="G13" s="72"/>
      <c r="H13" s="72"/>
      <c r="I13" s="72"/>
      <c r="J13" s="73" t="s">
        <v>60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97"/>
      <c r="V13" s="97"/>
    </row>
    <row r="14" spans="2:22" ht="12.75">
      <c r="B14" s="98" t="s">
        <v>80</v>
      </c>
      <c r="C14" s="66"/>
      <c r="D14" s="66"/>
      <c r="E14" s="66"/>
      <c r="F14" s="66"/>
      <c r="G14" s="66"/>
      <c r="H14" s="66"/>
      <c r="I14" s="66"/>
      <c r="J14" s="67" t="str">
        <f>'[7]PLANILHA'!N11</f>
        <v>MG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97"/>
      <c r="V14" s="97"/>
    </row>
    <row r="15" spans="2:22" ht="12.75">
      <c r="B15" s="62" t="s">
        <v>107</v>
      </c>
      <c r="C15" s="72"/>
      <c r="D15" s="72"/>
      <c r="E15" s="72"/>
      <c r="F15" s="72"/>
      <c r="G15" s="72"/>
      <c r="H15" s="72"/>
      <c r="I15" s="72"/>
      <c r="J15" s="73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97"/>
      <c r="V15" s="97"/>
    </row>
    <row r="16" spans="2:22" ht="12.75">
      <c r="B16" s="98"/>
      <c r="C16" s="66"/>
      <c r="D16" s="66"/>
      <c r="E16" s="66"/>
      <c r="F16" s="66"/>
      <c r="G16" s="66"/>
      <c r="H16" s="66"/>
      <c r="I16" s="66"/>
      <c r="J16" s="67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97"/>
      <c r="V16" s="97"/>
    </row>
    <row r="17" spans="11:22" ht="12.75"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97"/>
      <c r="V17" s="97"/>
    </row>
    <row r="18" spans="2:22" ht="12.75">
      <c r="B18" s="335" t="s">
        <v>61</v>
      </c>
      <c r="C18" s="335"/>
      <c r="D18" s="335"/>
      <c r="E18" s="335"/>
      <c r="F18" s="335"/>
      <c r="G18" s="335"/>
      <c r="H18" s="335"/>
      <c r="I18" s="335"/>
      <c r="J18" s="33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97"/>
      <c r="V18" s="97"/>
    </row>
    <row r="19" spans="2:22" ht="12.75" customHeight="1">
      <c r="B19" s="74" t="s">
        <v>62</v>
      </c>
      <c r="C19" s="327" t="s">
        <v>63</v>
      </c>
      <c r="D19" s="328"/>
      <c r="E19" s="328"/>
      <c r="F19" s="328"/>
      <c r="G19" s="328"/>
      <c r="H19" s="329"/>
      <c r="I19" s="309" t="s">
        <v>64</v>
      </c>
      <c r="J19" s="310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97"/>
      <c r="V19" s="97"/>
    </row>
    <row r="20" spans="2:22" ht="12.75" customHeight="1">
      <c r="B20" s="75"/>
      <c r="C20" s="330"/>
      <c r="D20" s="331"/>
      <c r="E20" s="331"/>
      <c r="F20" s="331"/>
      <c r="G20" s="331"/>
      <c r="H20" s="332"/>
      <c r="I20" s="311"/>
      <c r="J20" s="312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97"/>
      <c r="V20" s="97"/>
    </row>
    <row r="21" spans="2:22" ht="12.75">
      <c r="B21" s="77" t="s">
        <v>65</v>
      </c>
      <c r="C21" s="78" t="s">
        <v>66</v>
      </c>
      <c r="D21" s="333">
        <v>0.03</v>
      </c>
      <c r="E21" s="333"/>
      <c r="F21" s="79" t="s">
        <v>67</v>
      </c>
      <c r="G21" s="333">
        <v>0.055</v>
      </c>
      <c r="H21" s="334"/>
      <c r="I21" s="77" t="s">
        <v>65</v>
      </c>
      <c r="J21" s="80">
        <v>0.0425</v>
      </c>
      <c r="K21" s="76"/>
      <c r="L21" s="76"/>
      <c r="M21" s="76"/>
      <c r="N21" s="76">
        <v>0.0425</v>
      </c>
      <c r="O21" s="76"/>
      <c r="P21" s="76"/>
      <c r="Q21" s="76">
        <v>0.03</v>
      </c>
      <c r="R21" s="76"/>
      <c r="S21" s="76"/>
      <c r="T21" s="76"/>
      <c r="U21" s="97"/>
      <c r="V21" s="97"/>
    </row>
    <row r="22" spans="2:22" ht="12.75">
      <c r="B22" s="81" t="s">
        <v>68</v>
      </c>
      <c r="C22" s="82" t="s">
        <v>66</v>
      </c>
      <c r="D22" s="316">
        <v>0.008</v>
      </c>
      <c r="E22" s="316"/>
      <c r="F22" s="83" t="s">
        <v>67</v>
      </c>
      <c r="G22" s="316">
        <v>0.01</v>
      </c>
      <c r="H22" s="317"/>
      <c r="I22" s="81" t="s">
        <v>68</v>
      </c>
      <c r="J22" s="80">
        <v>0.009</v>
      </c>
      <c r="K22" s="76"/>
      <c r="L22" s="76"/>
      <c r="M22" s="76"/>
      <c r="N22" s="76">
        <v>0.009</v>
      </c>
      <c r="O22" s="76"/>
      <c r="P22" s="76"/>
      <c r="Q22" s="76">
        <v>0.008</v>
      </c>
      <c r="R22" s="76"/>
      <c r="S22" s="76"/>
      <c r="T22" s="76"/>
      <c r="U22" s="97"/>
      <c r="V22" s="97"/>
    </row>
    <row r="23" spans="2:22" ht="12.75">
      <c r="B23" s="81" t="s">
        <v>69</v>
      </c>
      <c r="C23" s="82" t="s">
        <v>66</v>
      </c>
      <c r="D23" s="316">
        <v>0.0097</v>
      </c>
      <c r="E23" s="316"/>
      <c r="F23" s="83" t="s">
        <v>67</v>
      </c>
      <c r="G23" s="316">
        <v>0.0127</v>
      </c>
      <c r="H23" s="317"/>
      <c r="I23" s="81" t="s">
        <v>69</v>
      </c>
      <c r="J23" s="80">
        <v>0.0123</v>
      </c>
      <c r="K23" s="76"/>
      <c r="L23" s="76"/>
      <c r="M23" s="76"/>
      <c r="N23" s="76">
        <v>0.0123</v>
      </c>
      <c r="O23" s="76"/>
      <c r="P23" s="76"/>
      <c r="Q23" s="76">
        <v>0.0097</v>
      </c>
      <c r="R23" s="76"/>
      <c r="S23" s="76"/>
      <c r="T23" s="76"/>
      <c r="U23" s="97"/>
      <c r="V23" s="97"/>
    </row>
    <row r="24" spans="2:22" ht="12.75">
      <c r="B24" s="81" t="s">
        <v>70</v>
      </c>
      <c r="C24" s="82" t="s">
        <v>66</v>
      </c>
      <c r="D24" s="316">
        <v>0.0059</v>
      </c>
      <c r="E24" s="316"/>
      <c r="F24" s="83" t="s">
        <v>67</v>
      </c>
      <c r="G24" s="316">
        <v>0.0139</v>
      </c>
      <c r="H24" s="317"/>
      <c r="I24" s="81" t="s">
        <v>70</v>
      </c>
      <c r="J24" s="80">
        <v>0.0095</v>
      </c>
      <c r="K24" s="76"/>
      <c r="L24" s="76"/>
      <c r="M24" s="76"/>
      <c r="N24" s="76">
        <v>0.0095</v>
      </c>
      <c r="O24" s="76"/>
      <c r="P24" s="76"/>
      <c r="Q24" s="76">
        <v>0.0059</v>
      </c>
      <c r="R24" s="76"/>
      <c r="S24" s="76"/>
      <c r="T24" s="76"/>
      <c r="U24" s="97"/>
      <c r="V24" s="97"/>
    </row>
    <row r="25" spans="2:22" ht="12.75">
      <c r="B25" s="81" t="s">
        <v>71</v>
      </c>
      <c r="C25" s="82" t="s">
        <v>66</v>
      </c>
      <c r="D25" s="316">
        <v>0.0616</v>
      </c>
      <c r="E25" s="316"/>
      <c r="F25" s="83" t="s">
        <v>67</v>
      </c>
      <c r="G25" s="316">
        <v>0.0896</v>
      </c>
      <c r="H25" s="317"/>
      <c r="I25" s="81" t="s">
        <v>71</v>
      </c>
      <c r="J25" s="80">
        <v>0.0792</v>
      </c>
      <c r="K25" s="76"/>
      <c r="L25" s="76"/>
      <c r="M25" s="76"/>
      <c r="N25" s="76">
        <v>0.0633</v>
      </c>
      <c r="O25" s="76"/>
      <c r="P25" s="76"/>
      <c r="Q25" s="76">
        <v>0.0616</v>
      </c>
      <c r="R25" s="76"/>
      <c r="S25" s="76"/>
      <c r="T25" s="76"/>
      <c r="U25" s="97"/>
      <c r="V25" s="97"/>
    </row>
    <row r="26" spans="2:22" ht="12.75">
      <c r="B26" s="84" t="s">
        <v>72</v>
      </c>
      <c r="C26" s="82" t="s">
        <v>66</v>
      </c>
      <c r="D26" s="316">
        <v>0.0565</v>
      </c>
      <c r="E26" s="316"/>
      <c r="F26" s="83" t="s">
        <v>67</v>
      </c>
      <c r="G26" s="316">
        <v>0.0865</v>
      </c>
      <c r="H26" s="317"/>
      <c r="I26" s="84" t="s">
        <v>72</v>
      </c>
      <c r="J26" s="80">
        <v>0.0735</v>
      </c>
      <c r="K26" s="76"/>
      <c r="L26" s="76"/>
      <c r="M26" s="76"/>
      <c r="N26" s="76">
        <v>0.0865</v>
      </c>
      <c r="O26" s="76"/>
      <c r="P26" s="76"/>
      <c r="Q26" s="76">
        <v>0.0703</v>
      </c>
      <c r="R26" s="76"/>
      <c r="S26" s="76"/>
      <c r="T26" s="76"/>
      <c r="U26" s="97"/>
      <c r="V26" s="97"/>
    </row>
    <row r="27" spans="2:22" ht="12.75">
      <c r="B27" s="85" t="s">
        <v>73</v>
      </c>
      <c r="C27" s="86"/>
      <c r="D27" s="318">
        <v>0</v>
      </c>
      <c r="E27" s="318"/>
      <c r="F27" s="87" t="s">
        <v>74</v>
      </c>
      <c r="G27" s="318">
        <v>0.045</v>
      </c>
      <c r="H27" s="319"/>
      <c r="I27" s="85" t="s">
        <v>73</v>
      </c>
      <c r="J27" s="80">
        <v>0.045</v>
      </c>
      <c r="K27" s="76"/>
      <c r="L27" s="76">
        <f>IF(OR(J27=0,J27=0.045),0,1)</f>
        <v>0</v>
      </c>
      <c r="M27" s="76"/>
      <c r="N27" s="76">
        <v>0.045</v>
      </c>
      <c r="O27" s="76"/>
      <c r="P27" s="76"/>
      <c r="Q27" s="76">
        <v>0</v>
      </c>
      <c r="R27" s="76"/>
      <c r="S27" s="76"/>
      <c r="T27" s="76"/>
      <c r="U27" s="97"/>
      <c r="V27" s="97"/>
    </row>
    <row r="28" spans="2:22" ht="12.75">
      <c r="B28" s="297" t="s">
        <v>75</v>
      </c>
      <c r="C28" s="298"/>
      <c r="D28" s="298"/>
      <c r="E28" s="298"/>
      <c r="F28" s="298"/>
      <c r="G28" s="298"/>
      <c r="H28" s="298"/>
      <c r="I28" s="298"/>
      <c r="J28" s="299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97"/>
      <c r="V28" s="97"/>
    </row>
    <row r="29" spans="2:22" ht="12.75">
      <c r="B29" s="77" t="s">
        <v>65</v>
      </c>
      <c r="C29" s="300" t="str">
        <f>IF(J21&gt;G21,"Incidência maior que a permitida",IF(J21&lt;D21,"Incidência menor que a permitida","ok"))</f>
        <v>ok</v>
      </c>
      <c r="D29" s="301"/>
      <c r="E29" s="301"/>
      <c r="F29" s="301"/>
      <c r="G29" s="301"/>
      <c r="H29" s="301"/>
      <c r="I29" s="301"/>
      <c r="J29" s="302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97"/>
      <c r="V29" s="97"/>
    </row>
    <row r="30" spans="2:22" ht="12.75">
      <c r="B30" s="81" t="s">
        <v>68</v>
      </c>
      <c r="C30" s="303" t="str">
        <f>IF(J22&gt;G22,"Incidência maior que a permitida",IF(J22&lt;0,"Incidência menor que a permitida","ok"))</f>
        <v>ok</v>
      </c>
      <c r="D30" s="304"/>
      <c r="E30" s="304"/>
      <c r="F30" s="304"/>
      <c r="G30" s="304"/>
      <c r="H30" s="304"/>
      <c r="I30" s="304"/>
      <c r="J30" s="305"/>
      <c r="K30" s="76"/>
      <c r="L30" s="76" t="s">
        <v>76</v>
      </c>
      <c r="M30" s="76" t="s">
        <v>77</v>
      </c>
      <c r="N30" s="76"/>
      <c r="O30" s="76"/>
      <c r="P30" s="76"/>
      <c r="Q30" s="76"/>
      <c r="R30" s="76"/>
      <c r="S30" s="76"/>
      <c r="T30" s="76"/>
      <c r="U30" s="97"/>
      <c r="V30" s="97"/>
    </row>
    <row r="31" spans="2:22" ht="12.75">
      <c r="B31" s="81" t="s">
        <v>69</v>
      </c>
      <c r="C31" s="303" t="str">
        <f>IF(J23&gt;G23,"Incidência maior que a permitida",IF(J23&lt;0,"Incidência menor que a permitida","ok"))</f>
        <v>ok</v>
      </c>
      <c r="D31" s="304"/>
      <c r="E31" s="304"/>
      <c r="F31" s="304"/>
      <c r="G31" s="304"/>
      <c r="H31" s="304"/>
      <c r="I31" s="304"/>
      <c r="J31" s="305"/>
      <c r="K31" s="76"/>
      <c r="L31" s="76">
        <v>0.2646</v>
      </c>
      <c r="M31" s="76">
        <v>0.3148</v>
      </c>
      <c r="N31" s="76"/>
      <c r="O31" s="76"/>
      <c r="P31" s="76"/>
      <c r="Q31" s="76"/>
      <c r="R31" s="76"/>
      <c r="S31" s="76"/>
      <c r="T31" s="76"/>
      <c r="U31" s="97"/>
      <c r="V31" s="97"/>
    </row>
    <row r="32" spans="2:22" ht="12.75">
      <c r="B32" s="81" t="s">
        <v>70</v>
      </c>
      <c r="C32" s="303" t="str">
        <f>IF(J24&gt;G24,"Incidência maior que a permitida",IF(J24&lt;D24,"Incidência menor que a permitida","ok"))</f>
        <v>ok</v>
      </c>
      <c r="D32" s="304"/>
      <c r="E32" s="304"/>
      <c r="F32" s="304"/>
      <c r="G32" s="304"/>
      <c r="H32" s="304"/>
      <c r="I32" s="304"/>
      <c r="J32" s="305"/>
      <c r="K32" s="76"/>
      <c r="L32" s="76">
        <v>0.2034</v>
      </c>
      <c r="M32" s="76">
        <v>0.25</v>
      </c>
      <c r="N32" s="76"/>
      <c r="O32" s="76"/>
      <c r="P32" s="76"/>
      <c r="Q32" s="76"/>
      <c r="R32" s="76"/>
      <c r="S32" s="76"/>
      <c r="T32" s="76"/>
      <c r="U32" s="97"/>
      <c r="V32" s="97"/>
    </row>
    <row r="33" spans="2:22" ht="12.75">
      <c r="B33" s="81" t="s">
        <v>71</v>
      </c>
      <c r="C33" s="303" t="str">
        <f>IF(J25&gt;G25,"Incidência maior que a permitida",IF(J25&lt;D25,"Incidência menor que a permitida","ok"))</f>
        <v>ok</v>
      </c>
      <c r="D33" s="304"/>
      <c r="E33" s="304"/>
      <c r="F33" s="304"/>
      <c r="G33" s="304"/>
      <c r="H33" s="304"/>
      <c r="I33" s="304"/>
      <c r="J33" s="305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97"/>
      <c r="V33" s="97"/>
    </row>
    <row r="34" spans="2:22" ht="12.75">
      <c r="B34" s="84" t="s">
        <v>72</v>
      </c>
      <c r="C34" s="306" t="str">
        <f>IF(J26&gt;G26,"Incidência maior que a permitida",IF(J26&lt;D26,"Incidência menor que a permitida","ok"))</f>
        <v>ok</v>
      </c>
      <c r="D34" s="307"/>
      <c r="E34" s="307"/>
      <c r="F34" s="307"/>
      <c r="G34" s="307"/>
      <c r="H34" s="307"/>
      <c r="I34" s="307"/>
      <c r="J34" s="308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97"/>
      <c r="V34" s="97"/>
    </row>
    <row r="35" spans="2:22" ht="12.75">
      <c r="B35" s="85" t="s">
        <v>73</v>
      </c>
      <c r="C35" s="306" t="str">
        <f>IF(J27=D27,"ok",IF(J27=G27,"ok","Incidência não permitida"))</f>
        <v>ok</v>
      </c>
      <c r="D35" s="307"/>
      <c r="E35" s="307"/>
      <c r="F35" s="307"/>
      <c r="G35" s="307"/>
      <c r="H35" s="307"/>
      <c r="I35" s="307"/>
      <c r="J35" s="308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97"/>
      <c r="V35" s="97"/>
    </row>
    <row r="36" spans="2:22" ht="12.75">
      <c r="B36" s="88" t="s">
        <v>78</v>
      </c>
      <c r="C36" s="294" t="s">
        <v>108</v>
      </c>
      <c r="D36" s="295"/>
      <c r="E36" s="295"/>
      <c r="F36" s="295"/>
      <c r="G36" s="295"/>
      <c r="H36" s="295"/>
      <c r="I36" s="296"/>
      <c r="J36" s="89">
        <f>ROUND(((1+J21+J22+J23)*(1+J24)*(1+J25)/(1-(J26+J27))-1),4)</f>
        <v>0.3148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97"/>
      <c r="V36" s="97"/>
    </row>
    <row r="37" spans="3:22" ht="12.75">
      <c r="C37" s="313" t="str">
        <f>IF(J27=0.045,IF(AND(J36&gt;=L31,J36&lt;=M31),L30,M30),IF(AND(J36&gt;=L32,J36&lt;=M32),L30,M30))</f>
        <v>BDI ADMISSÍVEL</v>
      </c>
      <c r="D37" s="314"/>
      <c r="E37" s="314"/>
      <c r="F37" s="314"/>
      <c r="G37" s="314"/>
      <c r="H37" s="314"/>
      <c r="I37" s="314"/>
      <c r="J37" s="315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97"/>
      <c r="V37" s="97"/>
    </row>
    <row r="38" spans="3:22" ht="12.75">
      <c r="C38" s="320"/>
      <c r="D38" s="320"/>
      <c r="E38" s="320"/>
      <c r="F38" s="320"/>
      <c r="G38" s="320"/>
      <c r="H38" s="320"/>
      <c r="I38" s="320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</sheetData>
  <sheetProtection/>
  <mergeCells count="30">
    <mergeCell ref="C38:I38"/>
    <mergeCell ref="B4:J5"/>
    <mergeCell ref="D23:E23"/>
    <mergeCell ref="G23:H23"/>
    <mergeCell ref="C19:H20"/>
    <mergeCell ref="D21:E21"/>
    <mergeCell ref="G21:H21"/>
    <mergeCell ref="D22:E22"/>
    <mergeCell ref="G22:H22"/>
    <mergeCell ref="B18:J18"/>
    <mergeCell ref="C37:J37"/>
    <mergeCell ref="D24:E24"/>
    <mergeCell ref="G24:H24"/>
    <mergeCell ref="C34:J34"/>
    <mergeCell ref="D27:E27"/>
    <mergeCell ref="G27:H27"/>
    <mergeCell ref="D25:E25"/>
    <mergeCell ref="G25:H25"/>
    <mergeCell ref="D26:E26"/>
    <mergeCell ref="G26:H26"/>
    <mergeCell ref="B2:J2"/>
    <mergeCell ref="C36:I36"/>
    <mergeCell ref="B28:J28"/>
    <mergeCell ref="C29:J29"/>
    <mergeCell ref="C30:J30"/>
    <mergeCell ref="C31:J31"/>
    <mergeCell ref="C32:J32"/>
    <mergeCell ref="C33:J33"/>
    <mergeCell ref="C35:J35"/>
    <mergeCell ref="I19:J20"/>
  </mergeCells>
  <conditionalFormatting sqref="J21:J26">
    <cfRule type="cellIs" priority="1" dxfId="34" operator="notBetween" stopIfTrue="1">
      <formula>D21</formula>
      <formula>G21</formula>
    </cfRule>
  </conditionalFormatting>
  <conditionalFormatting sqref="C29:C35">
    <cfRule type="cellIs" priority="2" dxfId="33" operator="notEqual" stopIfTrue="1">
      <formula>"ok"</formula>
    </cfRule>
  </conditionalFormatting>
  <conditionalFormatting sqref="J27">
    <cfRule type="expression" priority="3" dxfId="32" stopIfTrue="1">
      <formula>$L$27&lt;&gt;0</formula>
    </cfRule>
  </conditionalFormatting>
  <conditionalFormatting sqref="C37:J37">
    <cfRule type="cellIs" priority="4" dxfId="31" operator="equal" stopIfTrue="1">
      <formula>$L$30</formula>
    </cfRule>
    <cfRule type="cellIs" priority="5" dxfId="30" operator="notEqual" stopIfTrue="1">
      <formula>$L$30</formula>
    </cfRule>
  </conditionalFormatting>
  <dataValidations count="2">
    <dataValidation allowBlank="1" showInputMessage="1" showErrorMessage="1" promptTitle="Fórmula TCU Acórdão 2622/2013" prompt="Edificações" sqref="C36:I36"/>
    <dataValidation allowBlank="1" showInputMessage="1" showErrorMessage="1" promptTitle="Encargos sociais" prompt="Para encargos sociais desonerados usar 4,5%." sqref="Q27 N27 J27"/>
  </dataValidations>
  <printOptions/>
  <pageMargins left="0.75" right="0.75" top="1" bottom="1" header="0.492125985" footer="0.49212598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7.57421875" style="107" customWidth="1"/>
    <col min="2" max="2" width="38.7109375" style="123" customWidth="1"/>
    <col min="3" max="3" width="7.7109375" style="107" customWidth="1"/>
    <col min="4" max="4" width="12.7109375" style="107" customWidth="1"/>
    <col min="5" max="5" width="13.7109375" style="107" customWidth="1"/>
    <col min="6" max="6" width="11.00390625" style="107" bestFit="1" customWidth="1"/>
    <col min="7" max="16384" width="9.140625" style="107" customWidth="1"/>
  </cols>
  <sheetData>
    <row r="1" spans="2:5" ht="12">
      <c r="B1" s="342"/>
      <c r="C1" s="343"/>
      <c r="D1" s="343"/>
      <c r="E1" s="344"/>
    </row>
    <row r="2" spans="2:5" ht="16.5" customHeight="1">
      <c r="B2" s="345" t="s">
        <v>291</v>
      </c>
      <c r="C2" s="346"/>
      <c r="D2" s="346"/>
      <c r="E2" s="347"/>
    </row>
    <row r="3" spans="2:5" ht="16.5" customHeight="1">
      <c r="B3" s="348" t="s">
        <v>292</v>
      </c>
      <c r="C3" s="349"/>
      <c r="D3" s="349"/>
      <c r="E3" s="350"/>
    </row>
    <row r="4" spans="2:5" ht="16.5" customHeight="1">
      <c r="B4" s="351" t="s">
        <v>293</v>
      </c>
      <c r="C4" s="352"/>
      <c r="D4" s="352"/>
      <c r="E4" s="353"/>
    </row>
    <row r="5" spans="2:5" ht="34.5" customHeight="1">
      <c r="B5" s="336" t="s">
        <v>689</v>
      </c>
      <c r="C5" s="337"/>
      <c r="D5" s="337"/>
      <c r="E5" s="338"/>
    </row>
    <row r="6" spans="2:5" ht="15.75">
      <c r="B6" s="339" t="s">
        <v>294</v>
      </c>
      <c r="C6" s="340"/>
      <c r="D6" s="340"/>
      <c r="E6" s="341"/>
    </row>
    <row r="7" spans="2:5" ht="15.75">
      <c r="B7" s="108"/>
      <c r="C7" s="109"/>
      <c r="D7" s="358"/>
      <c r="E7" s="355"/>
    </row>
    <row r="8" spans="2:5" ht="15.75">
      <c r="B8" s="110" t="s">
        <v>690</v>
      </c>
      <c r="C8" s="111"/>
      <c r="D8" s="359"/>
      <c r="E8" s="360"/>
    </row>
    <row r="9" spans="2:5" s="114" customFormat="1" ht="15.75">
      <c r="B9" s="112" t="s">
        <v>295</v>
      </c>
      <c r="C9" s="113"/>
      <c r="D9" s="361">
        <v>128.6</v>
      </c>
      <c r="E9" s="355"/>
    </row>
    <row r="10" spans="2:5" ht="15.75" customHeight="1">
      <c r="B10" s="112" t="s">
        <v>296</v>
      </c>
      <c r="C10" s="113"/>
      <c r="D10" s="361">
        <f>4.9*2*22</f>
        <v>215.60000000000002</v>
      </c>
      <c r="E10" s="355"/>
    </row>
    <row r="11" spans="2:5" ht="31.5">
      <c r="B11" s="115" t="s">
        <v>297</v>
      </c>
      <c r="C11" s="116"/>
      <c r="D11" s="361">
        <f>-((1584+1034)/2)*0.06</f>
        <v>-78.53999999999999</v>
      </c>
      <c r="E11" s="355"/>
    </row>
    <row r="12" spans="2:5" ht="15.75">
      <c r="B12" s="117" t="str">
        <f>'[8]INSUMOS'!A18</f>
        <v>Cesta Básica</v>
      </c>
      <c r="C12" s="118"/>
      <c r="D12" s="361">
        <v>132.5</v>
      </c>
      <c r="E12" s="362"/>
    </row>
    <row r="13" spans="2:5" ht="15.75">
      <c r="B13" s="119" t="s">
        <v>298</v>
      </c>
      <c r="C13" s="120"/>
      <c r="D13" s="354">
        <f>SUM(D9:E12)</f>
        <v>398.1600000000001</v>
      </c>
      <c r="E13" s="355"/>
    </row>
    <row r="14" spans="2:5" ht="16.5" thickBot="1">
      <c r="B14" s="121" t="s">
        <v>688</v>
      </c>
      <c r="C14" s="122"/>
      <c r="D14" s="356">
        <f>D13*20</f>
        <v>7963.200000000002</v>
      </c>
      <c r="E14" s="357"/>
    </row>
    <row r="15" spans="4:5" ht="11.25">
      <c r="D15" s="124"/>
      <c r="E15" s="124"/>
    </row>
    <row r="17" ht="11.25">
      <c r="E17" s="125"/>
    </row>
    <row r="22" ht="11.25">
      <c r="A22" s="126"/>
    </row>
    <row r="23" ht="11.25">
      <c r="A23" s="126"/>
    </row>
  </sheetData>
  <sheetProtection/>
  <mergeCells count="14">
    <mergeCell ref="D13:E13"/>
    <mergeCell ref="D14:E14"/>
    <mergeCell ref="D7:E7"/>
    <mergeCell ref="D8:E8"/>
    <mergeCell ref="D12:E12"/>
    <mergeCell ref="D9:E9"/>
    <mergeCell ref="D10:E10"/>
    <mergeCell ref="D11:E11"/>
    <mergeCell ref="B5:E5"/>
    <mergeCell ref="B6:E6"/>
    <mergeCell ref="B1:E1"/>
    <mergeCell ref="B2:E2"/>
    <mergeCell ref="B3:E3"/>
    <mergeCell ref="B4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graceamaral</dc:creator>
  <cp:keywords/>
  <dc:description/>
  <cp:lastModifiedBy>moniquecoelho</cp:lastModifiedBy>
  <cp:lastPrinted>2017-07-27T19:38:41Z</cp:lastPrinted>
  <dcterms:created xsi:type="dcterms:W3CDTF">2017-05-19T17:43:14Z</dcterms:created>
  <dcterms:modified xsi:type="dcterms:W3CDTF">2017-08-09T18:58:56Z</dcterms:modified>
  <cp:category/>
  <cp:version/>
  <cp:contentType/>
  <cp:contentStatus/>
</cp:coreProperties>
</file>